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202300"/>
  <mc:AlternateContent xmlns:mc="http://schemas.openxmlformats.org/markup-compatibility/2006">
    <mc:Choice Requires="x15">
      <x15ac:absPath xmlns:x15ac="http://schemas.microsoft.com/office/spreadsheetml/2010/11/ac" url="https://chiama.sharepoint.com/sites/CEA/Shared Documents/Design Team and Report Production/Active Jobs/Hosp. and Hosp. Health System YTD Dashboards/YTD Report (data thru 3.31.2026) - June 2026/"/>
    </mc:Choice>
  </mc:AlternateContent>
  <xr:revisionPtr revIDLastSave="0" documentId="8_{45612315-B4C1-4EF4-89B5-7377067041F3}" xr6:coauthVersionLast="47" xr6:coauthVersionMax="47" xr10:uidLastSave="{00000000-0000-0000-0000-000000000000}"/>
  <bookViews>
    <workbookView xWindow="-108" yWindow="-108" windowWidth="30936" windowHeight="16776" tabRatio="748" firstSheet="1" activeTab="1" xr2:uid="{6C508500-B68F-42A7-A14D-F873F93A7986}"/>
  </bookViews>
  <sheets>
    <sheet name="ControlSheet" sheetId="41" state="veryHidden" r:id="rId1"/>
    <sheet name="Cover" sheetId="33" r:id="rId2"/>
    <sheet name="Contents" sheetId="2" r:id="rId3"/>
    <sheet name="Report Highlights" sheetId="18" r:id="rId4"/>
    <sheet name="Data Overview " sheetId="40" r:id="rId5"/>
    <sheet name="Current YTD Data Table" sheetId="4" r:id="rId6"/>
    <sheet name="Static Data Tab" sheetId="13" state="hidden" r:id="rId7"/>
    <sheet name="Current YTD Databook" sheetId="9" r:id="rId8"/>
    <sheet name="Current YTD TS Backup" sheetId="39" state="hidden" r:id="rId9"/>
    <sheet name="Current YTD TS Databook" sheetId="30" r:id="rId10"/>
    <sheet name="Technical Appendix" sheetId="12" r:id="rId11"/>
    <sheet name="Checks" sheetId="34" state="hidden" r:id="rId12"/>
    <sheet name="Prior Year Data Table" sheetId="36" state="hidden" r:id="rId13"/>
    <sheet name="Prior Year Data Pull" sheetId="37" state="hidden" r:id="rId14"/>
    <sheet name="Prior Year TS Data Pull" sheetId="35" state="hidden" r:id="rId15"/>
    <sheet name="Prior YTD Data Table" sheetId="27" state="hidden" r:id="rId16"/>
    <sheet name="Prior YTD Data Pull" sheetId="11" state="hidden" r:id="rId17"/>
    <sheet name="Prior YTD TS Data Pull" sheetId="38" state="hidden" r:id="rId18"/>
  </sheets>
  <definedNames>
    <definedName name="_xlnm._FilterDatabase" localSheetId="5" hidden="1">'Current YTD Data Table'!$A$1:$AC$1</definedName>
    <definedName name="_xlnm._FilterDatabase" localSheetId="7" hidden="1">'Current YTD Databook'!$A$1:$BS$1</definedName>
    <definedName name="_xlnm._FilterDatabase" localSheetId="9" hidden="1">'Current YTD TS Databook'!$A$1:$P$1</definedName>
    <definedName name="_xlnm._FilterDatabase" localSheetId="13" hidden="1">'Prior Year Data Pull'!$A$1:$CI$135</definedName>
    <definedName name="_xlnm._FilterDatabase" localSheetId="12" hidden="1">'Prior Year Data Table'!$A$1:$CE$118</definedName>
    <definedName name="_xlnm._FilterDatabase" localSheetId="14" hidden="1">'Prior Year TS Data Pull'!$A$1:$J$1</definedName>
    <definedName name="_xlnm._FilterDatabase" localSheetId="16" hidden="1">'Prior YTD Data Pull'!$A$1:$CE$151</definedName>
    <definedName name="_xlnm._FilterDatabase" localSheetId="15" hidden="1">'Prior YTD Data Table'!$A$1:$CE$129</definedName>
    <definedName name="_xlnm._FilterDatabase" localSheetId="17" hidden="1">'Prior YTD TS Data Pull'!$A$1:$CB$128</definedName>
    <definedName name="_xlnm._FilterDatabase" localSheetId="6" hidden="1">'Static Data Tab'!$A$1:$Z$70</definedName>
    <definedName name="_Hlk146106932" localSheetId="10">'Technical Appendix'!$A$92</definedName>
    <definedName name="_Toc83035340" localSheetId="10">'Technical Appendix'!$A$31</definedName>
    <definedName name="_Toc83035341" localSheetId="10">'Technical Appendix'!$A$108</definedName>
    <definedName name="_Toc83035342" localSheetId="10">'Technical Appendix'!#REF!</definedName>
    <definedName name="_Toc83035343" localSheetId="10">'Technical Appendix'!$A$9</definedName>
    <definedName name="_xlnm.Print_Area" localSheetId="2">Contents!$A$1:$E$32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V3" i="36" l="1"/>
  <c r="AV4" i="36"/>
  <c r="AV5" i="36"/>
  <c r="AV6" i="36"/>
  <c r="AV7" i="36"/>
  <c r="AV8" i="36"/>
  <c r="AV9" i="36"/>
  <c r="AV10" i="36"/>
  <c r="T10" i="36" s="1"/>
  <c r="AV11" i="36"/>
  <c r="T11" i="36" s="1"/>
  <c r="AV12" i="36"/>
  <c r="AV13" i="36"/>
  <c r="AV14" i="36"/>
  <c r="AV15" i="36"/>
  <c r="AV16" i="36"/>
  <c r="AV17" i="36"/>
  <c r="AV18" i="36"/>
  <c r="AV19" i="36"/>
  <c r="AV20" i="36"/>
  <c r="AV21" i="36"/>
  <c r="AV22" i="36"/>
  <c r="AV23" i="36"/>
  <c r="AV24" i="36"/>
  <c r="AV25" i="36"/>
  <c r="AV26" i="36"/>
  <c r="AV27" i="36"/>
  <c r="AV28" i="36"/>
  <c r="AV29" i="36"/>
  <c r="AV30" i="36"/>
  <c r="AV31" i="36"/>
  <c r="AV32" i="36"/>
  <c r="AV33" i="36"/>
  <c r="AV34" i="36"/>
  <c r="AV35" i="36"/>
  <c r="AV36" i="36"/>
  <c r="AV37" i="36"/>
  <c r="AV38" i="36"/>
  <c r="AV39" i="36"/>
  <c r="AV40" i="36"/>
  <c r="AV41" i="36"/>
  <c r="AV42" i="36"/>
  <c r="AV43" i="36"/>
  <c r="AV44" i="36"/>
  <c r="AV45" i="36"/>
  <c r="AV46" i="36"/>
  <c r="AV47" i="36"/>
  <c r="AV48" i="36"/>
  <c r="T48" i="36" s="1"/>
  <c r="AV49" i="36"/>
  <c r="AV50" i="36"/>
  <c r="AV51" i="36"/>
  <c r="AV52" i="36"/>
  <c r="AV53" i="36"/>
  <c r="AV54" i="36"/>
  <c r="AV55" i="36"/>
  <c r="AV56" i="36"/>
  <c r="AV57" i="36"/>
  <c r="AV58" i="36"/>
  <c r="AV59" i="36"/>
  <c r="AV60" i="36"/>
  <c r="T60" i="36" s="1"/>
  <c r="AV61" i="36"/>
  <c r="AV62" i="36"/>
  <c r="AV63" i="36"/>
  <c r="AV64" i="36"/>
  <c r="AV65" i="36"/>
  <c r="AV66" i="36"/>
  <c r="AV67" i="36"/>
  <c r="AV68" i="36"/>
  <c r="AV69" i="36"/>
  <c r="AV70" i="36"/>
  <c r="AV71" i="36"/>
  <c r="AV72" i="36"/>
  <c r="AV73" i="36"/>
  <c r="AV74" i="36"/>
  <c r="AV75" i="36"/>
  <c r="AV76" i="36"/>
  <c r="AV77" i="36"/>
  <c r="AV78" i="36"/>
  <c r="AV79" i="36"/>
  <c r="AV80" i="36"/>
  <c r="AV81" i="36"/>
  <c r="AV82" i="36"/>
  <c r="T82" i="36" s="1"/>
  <c r="AV83" i="36"/>
  <c r="T83" i="36" s="1"/>
  <c r="AV84" i="36"/>
  <c r="T84" i="36" s="1"/>
  <c r="AV85" i="36"/>
  <c r="AV86" i="36"/>
  <c r="AV87" i="36"/>
  <c r="AV88" i="36"/>
  <c r="AV89" i="36"/>
  <c r="AV90" i="36"/>
  <c r="AV91" i="36"/>
  <c r="AV92" i="36"/>
  <c r="AV93" i="36"/>
  <c r="AV94" i="36"/>
  <c r="AV95" i="36"/>
  <c r="AV96" i="36"/>
  <c r="AV97" i="36"/>
  <c r="AV98" i="36"/>
  <c r="AV99" i="36"/>
  <c r="AV100" i="36"/>
  <c r="AV101" i="36"/>
  <c r="AV102" i="36"/>
  <c r="AV103" i="36"/>
  <c r="AV104" i="36"/>
  <c r="AV105" i="36"/>
  <c r="AV106" i="36"/>
  <c r="T106" i="36" s="1"/>
  <c r="AV107" i="36"/>
  <c r="T107" i="36" s="1"/>
  <c r="AV108" i="36"/>
  <c r="AV109" i="36"/>
  <c r="AV110" i="36"/>
  <c r="AV111" i="36"/>
  <c r="AV112" i="36"/>
  <c r="AV113" i="36"/>
  <c r="AV114" i="36"/>
  <c r="AV115" i="36"/>
  <c r="AV116" i="36"/>
  <c r="AV117" i="36"/>
  <c r="AV118" i="36"/>
  <c r="AU3" i="36"/>
  <c r="AU4" i="36"/>
  <c r="AU5" i="36"/>
  <c r="AU6" i="36"/>
  <c r="AU7" i="36"/>
  <c r="AU8" i="36"/>
  <c r="AU9" i="36"/>
  <c r="AU10" i="36"/>
  <c r="AU11" i="36"/>
  <c r="AU12" i="36"/>
  <c r="AU13" i="36"/>
  <c r="AU14" i="36"/>
  <c r="AU15" i="36"/>
  <c r="AU16" i="36"/>
  <c r="AU17" i="36"/>
  <c r="AU18" i="36"/>
  <c r="AU19" i="36"/>
  <c r="AU20" i="36"/>
  <c r="AU21" i="36"/>
  <c r="AU22" i="36"/>
  <c r="AU23" i="36"/>
  <c r="AU24" i="36"/>
  <c r="AU25" i="36"/>
  <c r="AU26" i="36"/>
  <c r="AU27" i="36"/>
  <c r="AU28" i="36"/>
  <c r="AU29" i="36"/>
  <c r="AU30" i="36"/>
  <c r="AU31" i="36"/>
  <c r="AU32" i="36"/>
  <c r="AU33" i="36"/>
  <c r="AU34" i="36"/>
  <c r="AU35" i="36"/>
  <c r="AU36" i="36"/>
  <c r="AU37" i="36"/>
  <c r="AU38" i="36"/>
  <c r="AU39" i="36"/>
  <c r="AU40" i="36"/>
  <c r="AU41" i="36"/>
  <c r="AU42" i="36"/>
  <c r="AU43" i="36"/>
  <c r="AU44" i="36"/>
  <c r="AU45" i="36"/>
  <c r="AU46" i="36"/>
  <c r="AU47" i="36"/>
  <c r="AU48" i="36"/>
  <c r="AU49" i="36"/>
  <c r="AU50" i="36"/>
  <c r="AU51" i="36"/>
  <c r="AU52" i="36"/>
  <c r="AU53" i="36"/>
  <c r="AU54" i="36"/>
  <c r="AU55" i="36"/>
  <c r="AU56" i="36"/>
  <c r="AU57" i="36"/>
  <c r="AU58" i="36"/>
  <c r="AU59" i="36"/>
  <c r="AU60" i="36"/>
  <c r="AU61" i="36"/>
  <c r="AU62" i="36"/>
  <c r="AU63" i="36"/>
  <c r="AU64" i="36"/>
  <c r="AU65" i="36"/>
  <c r="AU66" i="36"/>
  <c r="AU67" i="36"/>
  <c r="AU68" i="36"/>
  <c r="AU69" i="36"/>
  <c r="AU70" i="36"/>
  <c r="AU71" i="36"/>
  <c r="AU72" i="36"/>
  <c r="AU73" i="36"/>
  <c r="AU74" i="36"/>
  <c r="AU75" i="36"/>
  <c r="AU76" i="36"/>
  <c r="AU77" i="36"/>
  <c r="AU78" i="36"/>
  <c r="AU79" i="36"/>
  <c r="AU80" i="36"/>
  <c r="AU81" i="36"/>
  <c r="AU82" i="36"/>
  <c r="AU83" i="36"/>
  <c r="AU84" i="36"/>
  <c r="AU85" i="36"/>
  <c r="AU86" i="36"/>
  <c r="AU87" i="36"/>
  <c r="AU88" i="36"/>
  <c r="AU89" i="36"/>
  <c r="AU90" i="36"/>
  <c r="AU91" i="36"/>
  <c r="AU92" i="36"/>
  <c r="AU93" i="36"/>
  <c r="AU94" i="36"/>
  <c r="AU95" i="36"/>
  <c r="AU96" i="36"/>
  <c r="AU97" i="36"/>
  <c r="AU98" i="36"/>
  <c r="AU99" i="36"/>
  <c r="AU100" i="36"/>
  <c r="AU101" i="36"/>
  <c r="AU102" i="36"/>
  <c r="AU103" i="36"/>
  <c r="AU104" i="36"/>
  <c r="AU105" i="36"/>
  <c r="AU106" i="36"/>
  <c r="AU107" i="36"/>
  <c r="AU108" i="36"/>
  <c r="AU109" i="36"/>
  <c r="AU110" i="36"/>
  <c r="AU111" i="36"/>
  <c r="AU112" i="36"/>
  <c r="AU113" i="36"/>
  <c r="AU114" i="36"/>
  <c r="AU115" i="36"/>
  <c r="AU116" i="36"/>
  <c r="AU117" i="36"/>
  <c r="AU118" i="36"/>
  <c r="AT3" i="36"/>
  <c r="AT4" i="36"/>
  <c r="AT5" i="36"/>
  <c r="AT6" i="36"/>
  <c r="AT7" i="36"/>
  <c r="AT8" i="36"/>
  <c r="AT9" i="36"/>
  <c r="AT10" i="36"/>
  <c r="AT11" i="36"/>
  <c r="AT12" i="36"/>
  <c r="AT13" i="36"/>
  <c r="AT14" i="36"/>
  <c r="AT15" i="36"/>
  <c r="AT16" i="36"/>
  <c r="AT17" i="36"/>
  <c r="AT18" i="36"/>
  <c r="AC18" i="36" s="1"/>
  <c r="AT19" i="36"/>
  <c r="AC19" i="36" s="1"/>
  <c r="AT20" i="36"/>
  <c r="AC20" i="36" s="1"/>
  <c r="AT21" i="36"/>
  <c r="AT22" i="36"/>
  <c r="AT23" i="36"/>
  <c r="AT24" i="36"/>
  <c r="AT25" i="36"/>
  <c r="AT26" i="36"/>
  <c r="AT27" i="36"/>
  <c r="AT28" i="36"/>
  <c r="AT29" i="36"/>
  <c r="AT30" i="36"/>
  <c r="AC30" i="36" s="1"/>
  <c r="AT31" i="36"/>
  <c r="AC31" i="36" s="1"/>
  <c r="AT32" i="36"/>
  <c r="AC32" i="36" s="1"/>
  <c r="AT33" i="36"/>
  <c r="AT34" i="36"/>
  <c r="AT35" i="36"/>
  <c r="AT36" i="36"/>
  <c r="AT37" i="36"/>
  <c r="AT38" i="36"/>
  <c r="AT39" i="36"/>
  <c r="AT40" i="36"/>
  <c r="AT41" i="36"/>
  <c r="AT42" i="36"/>
  <c r="AC42" i="36" s="1"/>
  <c r="AT43" i="36"/>
  <c r="AC43" i="36" s="1"/>
  <c r="AT44" i="36"/>
  <c r="AC44" i="36" s="1"/>
  <c r="AT45" i="36"/>
  <c r="AT46" i="36"/>
  <c r="AT47" i="36"/>
  <c r="AT48" i="36"/>
  <c r="AT49" i="36"/>
  <c r="AT50" i="36"/>
  <c r="AT51" i="36"/>
  <c r="AT52" i="36"/>
  <c r="AT53" i="36"/>
  <c r="AT54" i="36"/>
  <c r="AC54" i="36" s="1"/>
  <c r="AT55" i="36"/>
  <c r="AC55" i="36" s="1"/>
  <c r="AT56" i="36"/>
  <c r="AT57" i="36"/>
  <c r="AT58" i="36"/>
  <c r="AT59" i="36"/>
  <c r="AT60" i="36"/>
  <c r="AT61" i="36"/>
  <c r="AT62" i="36"/>
  <c r="AT63" i="36"/>
  <c r="AT64" i="36"/>
  <c r="AT65" i="36"/>
  <c r="AT66" i="36"/>
  <c r="AC66" i="36" s="1"/>
  <c r="AT67" i="36"/>
  <c r="AC67" i="36" s="1"/>
  <c r="AT68" i="36"/>
  <c r="AT69" i="36"/>
  <c r="AT70" i="36"/>
  <c r="AT71" i="36"/>
  <c r="AT72" i="36"/>
  <c r="AT73" i="36"/>
  <c r="AT74" i="36"/>
  <c r="AT75" i="36"/>
  <c r="AT76" i="36"/>
  <c r="AT77" i="36"/>
  <c r="AT78" i="36"/>
  <c r="AC78" i="36" s="1"/>
  <c r="AT79" i="36"/>
  <c r="AC79" i="36" s="1"/>
  <c r="AT80" i="36"/>
  <c r="AT81" i="36"/>
  <c r="AT82" i="36"/>
  <c r="AT83" i="36"/>
  <c r="AT84" i="36"/>
  <c r="AT85" i="36"/>
  <c r="AT86" i="36"/>
  <c r="AT87" i="36"/>
  <c r="AT88" i="36"/>
  <c r="AT89" i="36"/>
  <c r="AT90" i="36"/>
  <c r="AT91" i="36"/>
  <c r="AT92" i="36"/>
  <c r="AT93" i="36"/>
  <c r="AT94" i="36"/>
  <c r="AT95" i="36"/>
  <c r="AT96" i="36"/>
  <c r="AT97" i="36"/>
  <c r="AT98" i="36"/>
  <c r="AT99" i="36"/>
  <c r="AT100" i="36"/>
  <c r="AT101" i="36"/>
  <c r="AT102" i="36"/>
  <c r="AT103" i="36"/>
  <c r="AT104" i="36"/>
  <c r="AT105" i="36"/>
  <c r="AT106" i="36"/>
  <c r="AT107" i="36"/>
  <c r="AT108" i="36"/>
  <c r="AT109" i="36"/>
  <c r="AT110" i="36"/>
  <c r="AT111" i="36"/>
  <c r="AT112" i="36"/>
  <c r="AT113" i="36"/>
  <c r="AT114" i="36"/>
  <c r="AT115" i="36"/>
  <c r="AT116" i="36"/>
  <c r="AT117" i="36"/>
  <c r="AT118" i="36"/>
  <c r="AS3" i="36"/>
  <c r="AS4" i="36"/>
  <c r="AS5" i="36"/>
  <c r="AS6" i="36"/>
  <c r="AS7" i="36"/>
  <c r="AS8" i="36"/>
  <c r="AS9" i="36"/>
  <c r="AS10" i="36"/>
  <c r="AC10" i="36" s="1"/>
  <c r="AS11" i="36"/>
  <c r="AC11" i="36" s="1"/>
  <c r="AS12" i="36"/>
  <c r="AC12" i="36" s="1"/>
  <c r="AS13" i="36"/>
  <c r="AS14" i="36"/>
  <c r="AS15" i="36"/>
  <c r="AS16" i="36"/>
  <c r="AS17" i="36"/>
  <c r="AS18" i="36"/>
  <c r="AS19" i="36"/>
  <c r="AS20" i="36"/>
  <c r="AS21" i="36"/>
  <c r="AS22" i="36"/>
  <c r="AC22" i="36" s="1"/>
  <c r="AS23" i="36"/>
  <c r="AC23" i="36" s="1"/>
  <c r="AS24" i="36"/>
  <c r="AC24" i="36" s="1"/>
  <c r="AS25" i="36"/>
  <c r="AC25" i="36" s="1"/>
  <c r="AS26" i="36"/>
  <c r="AS27" i="36"/>
  <c r="AS28" i="36"/>
  <c r="AS29" i="36"/>
  <c r="AS30" i="36"/>
  <c r="AS31" i="36"/>
  <c r="AS32" i="36"/>
  <c r="AS33" i="36"/>
  <c r="AS34" i="36"/>
  <c r="AS35" i="36"/>
  <c r="AC35" i="36" s="1"/>
  <c r="AS36" i="36"/>
  <c r="AC36" i="36" s="1"/>
  <c r="AS37" i="36"/>
  <c r="AC37" i="36" s="1"/>
  <c r="AS38" i="36"/>
  <c r="AS39" i="36"/>
  <c r="AS40" i="36"/>
  <c r="AS41" i="36"/>
  <c r="AS42" i="36"/>
  <c r="AS43" i="36"/>
  <c r="AS44" i="36"/>
  <c r="AS45" i="36"/>
  <c r="AS46" i="36"/>
  <c r="AC46" i="36" s="1"/>
  <c r="AS47" i="36"/>
  <c r="AC47" i="36" s="1"/>
  <c r="AS48" i="36"/>
  <c r="AC48" i="36" s="1"/>
  <c r="AS49" i="36"/>
  <c r="AS50" i="36"/>
  <c r="AS51" i="36"/>
  <c r="AS52" i="36"/>
  <c r="AS53" i="36"/>
  <c r="AS54" i="36"/>
  <c r="AS55" i="36"/>
  <c r="AS56" i="36"/>
  <c r="AS57" i="36"/>
  <c r="AS58" i="36"/>
  <c r="AC58" i="36" s="1"/>
  <c r="AS59" i="36"/>
  <c r="AC59" i="36" s="1"/>
  <c r="AS60" i="36"/>
  <c r="AC60" i="36" s="1"/>
  <c r="AS61" i="36"/>
  <c r="AC61" i="36" s="1"/>
  <c r="AS62" i="36"/>
  <c r="AS63" i="36"/>
  <c r="AS64" i="36"/>
  <c r="AS65" i="36"/>
  <c r="AS66" i="36"/>
  <c r="AS67" i="36"/>
  <c r="AS68" i="36"/>
  <c r="AS69" i="36"/>
  <c r="AS70" i="36"/>
  <c r="AC70" i="36" s="1"/>
  <c r="AS71" i="36"/>
  <c r="AC71" i="36" s="1"/>
  <c r="AS72" i="36"/>
  <c r="AC72" i="36" s="1"/>
  <c r="AS73" i="36"/>
  <c r="AC73" i="36" s="1"/>
  <c r="AS74" i="36"/>
  <c r="AS75" i="36"/>
  <c r="AS76" i="36"/>
  <c r="AS77" i="36"/>
  <c r="AS78" i="36"/>
  <c r="AS79" i="36"/>
  <c r="AS80" i="36"/>
  <c r="AS81" i="36"/>
  <c r="AS82" i="36"/>
  <c r="AS83" i="36"/>
  <c r="AS84" i="36"/>
  <c r="AC84" i="36" s="1"/>
  <c r="AS85" i="36"/>
  <c r="AC85" i="36" s="1"/>
  <c r="AS86" i="36"/>
  <c r="AS87" i="36"/>
  <c r="AS88" i="36"/>
  <c r="AS89" i="36"/>
  <c r="AS90" i="36"/>
  <c r="AS91" i="36"/>
  <c r="AS92" i="36"/>
  <c r="AS93" i="36"/>
  <c r="AS94" i="36"/>
  <c r="AC94" i="36" s="1"/>
  <c r="AS95" i="36"/>
  <c r="AC95" i="36" s="1"/>
  <c r="AS96" i="36"/>
  <c r="AC96" i="36" s="1"/>
  <c r="AS97" i="36"/>
  <c r="AC97" i="36" s="1"/>
  <c r="AS98" i="36"/>
  <c r="AS99" i="36"/>
  <c r="AS100" i="36"/>
  <c r="AS101" i="36"/>
  <c r="AS102" i="36"/>
  <c r="AS103" i="36"/>
  <c r="AS104" i="36"/>
  <c r="AS105" i="36"/>
  <c r="AS106" i="36"/>
  <c r="AC106" i="36" s="1"/>
  <c r="AS107" i="36"/>
  <c r="AC107" i="36" s="1"/>
  <c r="AS108" i="36"/>
  <c r="AC108" i="36" s="1"/>
  <c r="AS109" i="36"/>
  <c r="AC109" i="36" s="1"/>
  <c r="AS110" i="36"/>
  <c r="AS111" i="36"/>
  <c r="AS112" i="36"/>
  <c r="AS113" i="36"/>
  <c r="AS114" i="36"/>
  <c r="AS115" i="36"/>
  <c r="AS116" i="36"/>
  <c r="AS117" i="36"/>
  <c r="AS118" i="36"/>
  <c r="AC118" i="36" s="1"/>
  <c r="AR3" i="36"/>
  <c r="AR4" i="36"/>
  <c r="AR5" i="36"/>
  <c r="AR6" i="36"/>
  <c r="AR7" i="36"/>
  <c r="AR8" i="36"/>
  <c r="AR9" i="36"/>
  <c r="AR10" i="36"/>
  <c r="AR11" i="36"/>
  <c r="AR12" i="36"/>
  <c r="AR13" i="36"/>
  <c r="AR14" i="36"/>
  <c r="AB14" i="36" s="1"/>
  <c r="AR15" i="36"/>
  <c r="AR16" i="36"/>
  <c r="AR17" i="36"/>
  <c r="AR18" i="36"/>
  <c r="AR19" i="36"/>
  <c r="AR20" i="36"/>
  <c r="AR21" i="36"/>
  <c r="AR22" i="36"/>
  <c r="AR23" i="36"/>
  <c r="AR24" i="36"/>
  <c r="AR25" i="36"/>
  <c r="AR26" i="36"/>
  <c r="AB26" i="36" s="1"/>
  <c r="AR27" i="36"/>
  <c r="AR28" i="36"/>
  <c r="AR29" i="36"/>
  <c r="AR30" i="36"/>
  <c r="AR31" i="36"/>
  <c r="AR32" i="36"/>
  <c r="AR33" i="36"/>
  <c r="AR34" i="36"/>
  <c r="AR35" i="36"/>
  <c r="AR36" i="36"/>
  <c r="AR37" i="36"/>
  <c r="AR38" i="36"/>
  <c r="AB38" i="36" s="1"/>
  <c r="AR39" i="36"/>
  <c r="AR40" i="36"/>
  <c r="AR41" i="36"/>
  <c r="AR42" i="36"/>
  <c r="AR43" i="36"/>
  <c r="AR44" i="36"/>
  <c r="AR45" i="36"/>
  <c r="AR46" i="36"/>
  <c r="AR47" i="36"/>
  <c r="AR48" i="36"/>
  <c r="AR49" i="36"/>
  <c r="AR50" i="36"/>
  <c r="AB50" i="36" s="1"/>
  <c r="AR51" i="36"/>
  <c r="AR52" i="36"/>
  <c r="AR53" i="36"/>
  <c r="AR54" i="36"/>
  <c r="AR55" i="36"/>
  <c r="AR56" i="36"/>
  <c r="AR57" i="36"/>
  <c r="AR58" i="36"/>
  <c r="AR59" i="36"/>
  <c r="AR60" i="36"/>
  <c r="AR61" i="36"/>
  <c r="AR62" i="36"/>
  <c r="AB62" i="36" s="1"/>
  <c r="AR63" i="36"/>
  <c r="AR64" i="36"/>
  <c r="AB64" i="36" s="1"/>
  <c r="AR65" i="36"/>
  <c r="AR66" i="36"/>
  <c r="AR67" i="36"/>
  <c r="AR68" i="36"/>
  <c r="AR69" i="36"/>
  <c r="AR70" i="36"/>
  <c r="AR71" i="36"/>
  <c r="AR72" i="36"/>
  <c r="AR73" i="36"/>
  <c r="AR74" i="36"/>
  <c r="AB74" i="36" s="1"/>
  <c r="AR75" i="36"/>
  <c r="AR76" i="36"/>
  <c r="AR77" i="36"/>
  <c r="AR78" i="36"/>
  <c r="AR79" i="36"/>
  <c r="AR80" i="36"/>
  <c r="AR81" i="36"/>
  <c r="AR82" i="36"/>
  <c r="AR83" i="36"/>
  <c r="AR84" i="36"/>
  <c r="AR85" i="36"/>
  <c r="AR86" i="36"/>
  <c r="AB86" i="36" s="1"/>
  <c r="AR87" i="36"/>
  <c r="AR88" i="36"/>
  <c r="AR89" i="36"/>
  <c r="AR90" i="36"/>
  <c r="AR91" i="36"/>
  <c r="AR92" i="36"/>
  <c r="AR93" i="36"/>
  <c r="AR94" i="36"/>
  <c r="AR95" i="36"/>
  <c r="AR96" i="36"/>
  <c r="AR97" i="36"/>
  <c r="AR98" i="36"/>
  <c r="AB98" i="36" s="1"/>
  <c r="AR99" i="36"/>
  <c r="AR100" i="36"/>
  <c r="AR101" i="36"/>
  <c r="AR102" i="36"/>
  <c r="AR103" i="36"/>
  <c r="AR104" i="36"/>
  <c r="AR105" i="36"/>
  <c r="AR106" i="36"/>
  <c r="AR107" i="36"/>
  <c r="AR108" i="36"/>
  <c r="AR109" i="36"/>
  <c r="AR110" i="36"/>
  <c r="AB110" i="36" s="1"/>
  <c r="AR111" i="36"/>
  <c r="AR112" i="36"/>
  <c r="AR113" i="36"/>
  <c r="AR114" i="36"/>
  <c r="AR115" i="36"/>
  <c r="AR116" i="36"/>
  <c r="AR117" i="36"/>
  <c r="AR118" i="36"/>
  <c r="AQ3" i="36"/>
  <c r="AQ4" i="36"/>
  <c r="AQ5" i="36"/>
  <c r="AQ6" i="36"/>
  <c r="AQ7" i="36"/>
  <c r="AQ8" i="36"/>
  <c r="AQ9" i="36"/>
  <c r="AQ10" i="36"/>
  <c r="AQ11" i="36"/>
  <c r="AQ12" i="36"/>
  <c r="AQ13" i="36"/>
  <c r="AQ14" i="36"/>
  <c r="AQ15" i="36"/>
  <c r="AQ16" i="36"/>
  <c r="AQ17" i="36"/>
  <c r="AQ18" i="36"/>
  <c r="AQ19" i="36"/>
  <c r="AQ20" i="36"/>
  <c r="AQ21" i="36"/>
  <c r="AQ22" i="36"/>
  <c r="AQ23" i="36"/>
  <c r="AQ24" i="36"/>
  <c r="AQ25" i="36"/>
  <c r="AQ26" i="36"/>
  <c r="AQ27" i="36"/>
  <c r="AQ28" i="36"/>
  <c r="AQ29" i="36"/>
  <c r="AQ30" i="36"/>
  <c r="AQ31" i="36"/>
  <c r="AQ32" i="36"/>
  <c r="AQ33" i="36"/>
  <c r="AQ34" i="36"/>
  <c r="AQ35" i="36"/>
  <c r="AQ36" i="36"/>
  <c r="AQ37" i="36"/>
  <c r="AQ38" i="36"/>
  <c r="AQ39" i="36"/>
  <c r="AQ40" i="36"/>
  <c r="AQ41" i="36"/>
  <c r="AQ42" i="36"/>
  <c r="AQ43" i="36"/>
  <c r="AQ44" i="36"/>
  <c r="AQ45" i="36"/>
  <c r="AQ46" i="36"/>
  <c r="AQ47" i="36"/>
  <c r="AQ48" i="36"/>
  <c r="AQ49" i="36"/>
  <c r="AQ50" i="36"/>
  <c r="AQ51" i="36"/>
  <c r="AQ52" i="36"/>
  <c r="AQ53" i="36"/>
  <c r="AQ54" i="36"/>
  <c r="AQ55" i="36"/>
  <c r="AQ56" i="36"/>
  <c r="AQ57" i="36"/>
  <c r="AQ58" i="36"/>
  <c r="AQ59" i="36"/>
  <c r="AQ60" i="36"/>
  <c r="AQ61" i="36"/>
  <c r="AQ62" i="36"/>
  <c r="AQ63" i="36"/>
  <c r="AQ64" i="36"/>
  <c r="AQ65" i="36"/>
  <c r="AQ66" i="36"/>
  <c r="AQ67" i="36"/>
  <c r="AQ68" i="36"/>
  <c r="AQ69" i="36"/>
  <c r="AQ70" i="36"/>
  <c r="AQ71" i="36"/>
  <c r="AQ72" i="36"/>
  <c r="AQ73" i="36"/>
  <c r="AQ74" i="36"/>
  <c r="AQ75" i="36"/>
  <c r="AQ76" i="36"/>
  <c r="AQ77" i="36"/>
  <c r="AQ78" i="36"/>
  <c r="AQ79" i="36"/>
  <c r="AQ80" i="36"/>
  <c r="AQ81" i="36"/>
  <c r="AQ82" i="36"/>
  <c r="AQ83" i="36"/>
  <c r="AQ84" i="36"/>
  <c r="AQ85" i="36"/>
  <c r="AQ86" i="36"/>
  <c r="AQ87" i="36"/>
  <c r="AQ88" i="36"/>
  <c r="AQ89" i="36"/>
  <c r="AQ90" i="36"/>
  <c r="AA90" i="36" s="1"/>
  <c r="AQ91" i="36"/>
  <c r="AQ92" i="36"/>
  <c r="AQ93" i="36"/>
  <c r="AQ94" i="36"/>
  <c r="AQ95" i="36"/>
  <c r="AQ96" i="36"/>
  <c r="AQ97" i="36"/>
  <c r="AQ98" i="36"/>
  <c r="AQ99" i="36"/>
  <c r="AQ100" i="36"/>
  <c r="AQ101" i="36"/>
  <c r="AQ102" i="36"/>
  <c r="AQ103" i="36"/>
  <c r="AQ104" i="36"/>
  <c r="AQ105" i="36"/>
  <c r="AQ106" i="36"/>
  <c r="AQ107" i="36"/>
  <c r="AQ108" i="36"/>
  <c r="AQ109" i="36"/>
  <c r="AQ110" i="36"/>
  <c r="AQ111" i="36"/>
  <c r="AQ112" i="36"/>
  <c r="AQ113" i="36"/>
  <c r="AQ114" i="36"/>
  <c r="AQ115" i="36"/>
  <c r="AQ116" i="36"/>
  <c r="AQ117" i="36"/>
  <c r="AQ118" i="36"/>
  <c r="AP3" i="36"/>
  <c r="AP4" i="36"/>
  <c r="AP5" i="36"/>
  <c r="AP6" i="36"/>
  <c r="AP7" i="36"/>
  <c r="AP8" i="36"/>
  <c r="AP9" i="36"/>
  <c r="AP10" i="36"/>
  <c r="AP11" i="36"/>
  <c r="AP12" i="36"/>
  <c r="AP13" i="36"/>
  <c r="AP14" i="36"/>
  <c r="AP15" i="36"/>
  <c r="AP16" i="36"/>
  <c r="AP17" i="36"/>
  <c r="AP18" i="36"/>
  <c r="AP19" i="36"/>
  <c r="AP20" i="36"/>
  <c r="AP21" i="36"/>
  <c r="AP22" i="36"/>
  <c r="AP23" i="36"/>
  <c r="AP24" i="36"/>
  <c r="AP25" i="36"/>
  <c r="AP26" i="36"/>
  <c r="AP27" i="36"/>
  <c r="AP28" i="36"/>
  <c r="AP29" i="36"/>
  <c r="AP30" i="36"/>
  <c r="AP31" i="36"/>
  <c r="AP32" i="36"/>
  <c r="AP33" i="36"/>
  <c r="AP34" i="36"/>
  <c r="AP35" i="36"/>
  <c r="AP36" i="36"/>
  <c r="AP37" i="36"/>
  <c r="AP38" i="36"/>
  <c r="AP39" i="36"/>
  <c r="AP40" i="36"/>
  <c r="AP41" i="36"/>
  <c r="AP42" i="36"/>
  <c r="AP43" i="36"/>
  <c r="AP44" i="36"/>
  <c r="AP45" i="36"/>
  <c r="AP46" i="36"/>
  <c r="AP47" i="36"/>
  <c r="AP48" i="36"/>
  <c r="AP49" i="36"/>
  <c r="AP50" i="36"/>
  <c r="AP51" i="36"/>
  <c r="AP52" i="36"/>
  <c r="AP53" i="36"/>
  <c r="AP54" i="36"/>
  <c r="AP55" i="36"/>
  <c r="AP56" i="36"/>
  <c r="AP57" i="36"/>
  <c r="AP58" i="36"/>
  <c r="AP59" i="36"/>
  <c r="AP60" i="36"/>
  <c r="AP61" i="36"/>
  <c r="AP62" i="36"/>
  <c r="AP63" i="36"/>
  <c r="AP64" i="36"/>
  <c r="AP65" i="36"/>
  <c r="AP66" i="36"/>
  <c r="AP67" i="36"/>
  <c r="AP68" i="36"/>
  <c r="AP69" i="36"/>
  <c r="AP70" i="36"/>
  <c r="AP71" i="36"/>
  <c r="AP72" i="36"/>
  <c r="AP73" i="36"/>
  <c r="AP74" i="36"/>
  <c r="AP75" i="36"/>
  <c r="AP76" i="36"/>
  <c r="AP77" i="36"/>
  <c r="AP78" i="36"/>
  <c r="AP79" i="36"/>
  <c r="AP80" i="36"/>
  <c r="AP81" i="36"/>
  <c r="AP82" i="36"/>
  <c r="AP83" i="36"/>
  <c r="AP84" i="36"/>
  <c r="AP85" i="36"/>
  <c r="AP86" i="36"/>
  <c r="AP87" i="36"/>
  <c r="AP88" i="36"/>
  <c r="AP89" i="36"/>
  <c r="AP90" i="36"/>
  <c r="AP91" i="36"/>
  <c r="AP92" i="36"/>
  <c r="AP93" i="36"/>
  <c r="AP94" i="36"/>
  <c r="AP95" i="36"/>
  <c r="AP96" i="36"/>
  <c r="AP97" i="36"/>
  <c r="AP98" i="36"/>
  <c r="AP99" i="36"/>
  <c r="AP100" i="36"/>
  <c r="AP101" i="36"/>
  <c r="AP102" i="36"/>
  <c r="AP103" i="36"/>
  <c r="AP104" i="36"/>
  <c r="AP105" i="36"/>
  <c r="AP106" i="36"/>
  <c r="AP107" i="36"/>
  <c r="AP108" i="36"/>
  <c r="AP109" i="36"/>
  <c r="AP110" i="36"/>
  <c r="AP111" i="36"/>
  <c r="AP112" i="36"/>
  <c r="AP113" i="36"/>
  <c r="AP114" i="36"/>
  <c r="AP115" i="36"/>
  <c r="AP116" i="36"/>
  <c r="AP117" i="36"/>
  <c r="AP118" i="36"/>
  <c r="AO3" i="36"/>
  <c r="AO4" i="36"/>
  <c r="Z4" i="36" s="1"/>
  <c r="AO5" i="36"/>
  <c r="AO6" i="36"/>
  <c r="AO7" i="36"/>
  <c r="AO8" i="36"/>
  <c r="AO9" i="36"/>
  <c r="AO10" i="36"/>
  <c r="AO11" i="36"/>
  <c r="AO12" i="36"/>
  <c r="AO13" i="36"/>
  <c r="AO14" i="36"/>
  <c r="AO15" i="36"/>
  <c r="AO16" i="36"/>
  <c r="Z16" i="36" s="1"/>
  <c r="AO17" i="36"/>
  <c r="AO18" i="36"/>
  <c r="AO19" i="36"/>
  <c r="AO20" i="36"/>
  <c r="AO21" i="36"/>
  <c r="AO22" i="36"/>
  <c r="AO23" i="36"/>
  <c r="AO24" i="36"/>
  <c r="AO25" i="36"/>
  <c r="AO26" i="36"/>
  <c r="AO27" i="36"/>
  <c r="AO28" i="36"/>
  <c r="Z28" i="36" s="1"/>
  <c r="AO29" i="36"/>
  <c r="AO30" i="36"/>
  <c r="AO31" i="36"/>
  <c r="AO32" i="36"/>
  <c r="AO33" i="36"/>
  <c r="AO34" i="36"/>
  <c r="AO35" i="36"/>
  <c r="AO36" i="36"/>
  <c r="AO37" i="36"/>
  <c r="AO38" i="36"/>
  <c r="AO39" i="36"/>
  <c r="AO40" i="36"/>
  <c r="Z40" i="36" s="1"/>
  <c r="AO41" i="36"/>
  <c r="AO42" i="36"/>
  <c r="AO43" i="36"/>
  <c r="AO44" i="36"/>
  <c r="AO45" i="36"/>
  <c r="AO46" i="36"/>
  <c r="AO47" i="36"/>
  <c r="AO48" i="36"/>
  <c r="AO49" i="36"/>
  <c r="AO50" i="36"/>
  <c r="Z50" i="36" s="1"/>
  <c r="AO51" i="36"/>
  <c r="AO52" i="36"/>
  <c r="Z52" i="36" s="1"/>
  <c r="AO53" i="36"/>
  <c r="AO54" i="36"/>
  <c r="AO55" i="36"/>
  <c r="AO56" i="36"/>
  <c r="AO57" i="36"/>
  <c r="AO58" i="36"/>
  <c r="AO59" i="36"/>
  <c r="AO60" i="36"/>
  <c r="AO61" i="36"/>
  <c r="AO62" i="36"/>
  <c r="AO63" i="36"/>
  <c r="AO64" i="36"/>
  <c r="Z64" i="36" s="1"/>
  <c r="AO65" i="36"/>
  <c r="AO66" i="36"/>
  <c r="AO67" i="36"/>
  <c r="AO68" i="36"/>
  <c r="AO69" i="36"/>
  <c r="AO70" i="36"/>
  <c r="AO71" i="36"/>
  <c r="AO72" i="36"/>
  <c r="AO73" i="36"/>
  <c r="AO74" i="36"/>
  <c r="AO75" i="36"/>
  <c r="AO76" i="36"/>
  <c r="Z76" i="36" s="1"/>
  <c r="AO77" i="36"/>
  <c r="AO78" i="36"/>
  <c r="AO79" i="36"/>
  <c r="AO80" i="36"/>
  <c r="AO81" i="36"/>
  <c r="AO82" i="36"/>
  <c r="AO83" i="36"/>
  <c r="AO84" i="36"/>
  <c r="AO85" i="36"/>
  <c r="AO86" i="36"/>
  <c r="AO87" i="36"/>
  <c r="AO88" i="36"/>
  <c r="Z88" i="36" s="1"/>
  <c r="AO89" i="36"/>
  <c r="AO90" i="36"/>
  <c r="AO91" i="36"/>
  <c r="AO92" i="36"/>
  <c r="AO93" i="36"/>
  <c r="AO94" i="36"/>
  <c r="AO95" i="36"/>
  <c r="AO96" i="36"/>
  <c r="AO97" i="36"/>
  <c r="AO98" i="36"/>
  <c r="AO99" i="36"/>
  <c r="AO100" i="36"/>
  <c r="Z100" i="36" s="1"/>
  <c r="AO101" i="36"/>
  <c r="AO102" i="36"/>
  <c r="AO103" i="36"/>
  <c r="AO104" i="36"/>
  <c r="AO105" i="36"/>
  <c r="AO106" i="36"/>
  <c r="AO107" i="36"/>
  <c r="AO108" i="36"/>
  <c r="AO109" i="36"/>
  <c r="AO110" i="36"/>
  <c r="AO111" i="36"/>
  <c r="AO112" i="36"/>
  <c r="Z112" i="36" s="1"/>
  <c r="AO113" i="36"/>
  <c r="AO114" i="36"/>
  <c r="AO115" i="36"/>
  <c r="AO116" i="36"/>
  <c r="AO117" i="36"/>
  <c r="AO118" i="36"/>
  <c r="AN3" i="36"/>
  <c r="AN4" i="36"/>
  <c r="AN5" i="36"/>
  <c r="AN6" i="36"/>
  <c r="Z6" i="36" s="1"/>
  <c r="AN7" i="36"/>
  <c r="Z7" i="36" s="1"/>
  <c r="AN8" i="36"/>
  <c r="Z8" i="36" s="1"/>
  <c r="AN9" i="36"/>
  <c r="AN10" i="36"/>
  <c r="AN11" i="36"/>
  <c r="AN12" i="36"/>
  <c r="AN13" i="36"/>
  <c r="AN14" i="36"/>
  <c r="AN15" i="36"/>
  <c r="AN16" i="36"/>
  <c r="AN17" i="36"/>
  <c r="AN18" i="36"/>
  <c r="Z18" i="36" s="1"/>
  <c r="AN19" i="36"/>
  <c r="Z19" i="36" s="1"/>
  <c r="AN20" i="36"/>
  <c r="Z20" i="36" s="1"/>
  <c r="AN21" i="36"/>
  <c r="AN22" i="36"/>
  <c r="AN23" i="36"/>
  <c r="AN24" i="36"/>
  <c r="AN25" i="36"/>
  <c r="AN26" i="36"/>
  <c r="AN27" i="36"/>
  <c r="AN28" i="36"/>
  <c r="AN29" i="36"/>
  <c r="AN30" i="36"/>
  <c r="Z30" i="36" s="1"/>
  <c r="AN31" i="36"/>
  <c r="Z31" i="36" s="1"/>
  <c r="AN32" i="36"/>
  <c r="Z32" i="36" s="1"/>
  <c r="AN33" i="36"/>
  <c r="AN34" i="36"/>
  <c r="AN35" i="36"/>
  <c r="AN36" i="36"/>
  <c r="AN37" i="36"/>
  <c r="AN38" i="36"/>
  <c r="AN39" i="36"/>
  <c r="AN40" i="36"/>
  <c r="AN41" i="36"/>
  <c r="AN42" i="36"/>
  <c r="Z42" i="36" s="1"/>
  <c r="AN43" i="36"/>
  <c r="Z43" i="36" s="1"/>
  <c r="AN44" i="36"/>
  <c r="Z44" i="36" s="1"/>
  <c r="AN45" i="36"/>
  <c r="AN46" i="36"/>
  <c r="AN47" i="36"/>
  <c r="AN48" i="36"/>
  <c r="AN49" i="36"/>
  <c r="AN50" i="36"/>
  <c r="AN51" i="36"/>
  <c r="AN52" i="36"/>
  <c r="AN53" i="36"/>
  <c r="AN54" i="36"/>
  <c r="Z54" i="36" s="1"/>
  <c r="AN55" i="36"/>
  <c r="Z55" i="36" s="1"/>
  <c r="AN56" i="36"/>
  <c r="Z56" i="36" s="1"/>
  <c r="AN57" i="36"/>
  <c r="AN58" i="36"/>
  <c r="AN59" i="36"/>
  <c r="AN60" i="36"/>
  <c r="AN61" i="36"/>
  <c r="AN62" i="36"/>
  <c r="AN63" i="36"/>
  <c r="AN64" i="36"/>
  <c r="AN65" i="36"/>
  <c r="AN66" i="36"/>
  <c r="Z66" i="36" s="1"/>
  <c r="AN67" i="36"/>
  <c r="AN68" i="36"/>
  <c r="Z68" i="36" s="1"/>
  <c r="AN69" i="36"/>
  <c r="AN70" i="36"/>
  <c r="AN71" i="36"/>
  <c r="AN72" i="36"/>
  <c r="AN73" i="36"/>
  <c r="AN74" i="36"/>
  <c r="AN75" i="36"/>
  <c r="AN76" i="36"/>
  <c r="AN77" i="36"/>
  <c r="AN78" i="36"/>
  <c r="AN79" i="36"/>
  <c r="Z79" i="36" s="1"/>
  <c r="AN80" i="36"/>
  <c r="Z80" i="36" s="1"/>
  <c r="AN81" i="36"/>
  <c r="AN82" i="36"/>
  <c r="AN83" i="36"/>
  <c r="AN84" i="36"/>
  <c r="AN85" i="36"/>
  <c r="AN86" i="36"/>
  <c r="AN87" i="36"/>
  <c r="AN88" i="36"/>
  <c r="AN89" i="36"/>
  <c r="AN90" i="36"/>
  <c r="Z90" i="36" s="1"/>
  <c r="AN91" i="36"/>
  <c r="AN92" i="36"/>
  <c r="Z92" i="36" s="1"/>
  <c r="AN93" i="36"/>
  <c r="AN94" i="36"/>
  <c r="AN95" i="36"/>
  <c r="AN96" i="36"/>
  <c r="AN97" i="36"/>
  <c r="AN98" i="36"/>
  <c r="AN99" i="36"/>
  <c r="AN100" i="36"/>
  <c r="AN101" i="36"/>
  <c r="AN102" i="36"/>
  <c r="Z102" i="36" s="1"/>
  <c r="AN103" i="36"/>
  <c r="Z103" i="36" s="1"/>
  <c r="AN104" i="36"/>
  <c r="Z104" i="36" s="1"/>
  <c r="AN105" i="36"/>
  <c r="AN106" i="36"/>
  <c r="AN107" i="36"/>
  <c r="AN108" i="36"/>
  <c r="AN109" i="36"/>
  <c r="AN110" i="36"/>
  <c r="AN111" i="36"/>
  <c r="AN112" i="36"/>
  <c r="AN113" i="36"/>
  <c r="AN114" i="36"/>
  <c r="Z114" i="36" s="1"/>
  <c r="AN115" i="36"/>
  <c r="AN116" i="36"/>
  <c r="Z116" i="36" s="1"/>
  <c r="AN117" i="36"/>
  <c r="AN118" i="36"/>
  <c r="AM3" i="36"/>
  <c r="AM4" i="36"/>
  <c r="AM5" i="36"/>
  <c r="AM6" i="36"/>
  <c r="AM7" i="36"/>
  <c r="AM8" i="36"/>
  <c r="AM9" i="36"/>
  <c r="AM10" i="36"/>
  <c r="AM11" i="36"/>
  <c r="AM12" i="36"/>
  <c r="AM13" i="36"/>
  <c r="AM14" i="36"/>
  <c r="AM15" i="36"/>
  <c r="AM16" i="36"/>
  <c r="AM17" i="36"/>
  <c r="AM18" i="36"/>
  <c r="AM19" i="36"/>
  <c r="AM20" i="36"/>
  <c r="AM21" i="36"/>
  <c r="AM22" i="36"/>
  <c r="AM23" i="36"/>
  <c r="AM24" i="36"/>
  <c r="AM25" i="36"/>
  <c r="AM26" i="36"/>
  <c r="AM27" i="36"/>
  <c r="AM28" i="36"/>
  <c r="AM29" i="36"/>
  <c r="AM30" i="36"/>
  <c r="AM31" i="36"/>
  <c r="AM32" i="36"/>
  <c r="AM33" i="36"/>
  <c r="AM34" i="36"/>
  <c r="AM35" i="36"/>
  <c r="AM36" i="36"/>
  <c r="AM37" i="36"/>
  <c r="AM38" i="36"/>
  <c r="AM39" i="36"/>
  <c r="AM40" i="36"/>
  <c r="AM41" i="36"/>
  <c r="AM42" i="36"/>
  <c r="AM43" i="36"/>
  <c r="AM44" i="36"/>
  <c r="AM45" i="36"/>
  <c r="AM46" i="36"/>
  <c r="AM47" i="36"/>
  <c r="AM48" i="36"/>
  <c r="AM49" i="36"/>
  <c r="AM50" i="36"/>
  <c r="AM51" i="36"/>
  <c r="AM52" i="36"/>
  <c r="AM53" i="36"/>
  <c r="AM54" i="36"/>
  <c r="AM55" i="36"/>
  <c r="AM56" i="36"/>
  <c r="AM57" i="36"/>
  <c r="AM58" i="36"/>
  <c r="AM59" i="36"/>
  <c r="Y59" i="36" s="1"/>
  <c r="AM60" i="36"/>
  <c r="AM61" i="36"/>
  <c r="AM62" i="36"/>
  <c r="AM63" i="36"/>
  <c r="AM64" i="36"/>
  <c r="AM65" i="36"/>
  <c r="AM66" i="36"/>
  <c r="AM67" i="36"/>
  <c r="AM68" i="36"/>
  <c r="AM69" i="36"/>
  <c r="AM70" i="36"/>
  <c r="AM71" i="36"/>
  <c r="AM72" i="36"/>
  <c r="AM73" i="36"/>
  <c r="AM74" i="36"/>
  <c r="AM75" i="36"/>
  <c r="AM76" i="36"/>
  <c r="AM77" i="36"/>
  <c r="AM78" i="36"/>
  <c r="AM79" i="36"/>
  <c r="AM80" i="36"/>
  <c r="AM81" i="36"/>
  <c r="AM82" i="36"/>
  <c r="Y82" i="36" s="1"/>
  <c r="AM83" i="36"/>
  <c r="AM84" i="36"/>
  <c r="AM85" i="36"/>
  <c r="AM86" i="36"/>
  <c r="AM87" i="36"/>
  <c r="AM88" i="36"/>
  <c r="AM89" i="36"/>
  <c r="AM90" i="36"/>
  <c r="AM91" i="36"/>
  <c r="AM92" i="36"/>
  <c r="AM93" i="36"/>
  <c r="AM94" i="36"/>
  <c r="AM95" i="36"/>
  <c r="AM96" i="36"/>
  <c r="AM97" i="36"/>
  <c r="AM98" i="36"/>
  <c r="AM99" i="36"/>
  <c r="AM100" i="36"/>
  <c r="AM101" i="36"/>
  <c r="AM102" i="36"/>
  <c r="AM103" i="36"/>
  <c r="AM104" i="36"/>
  <c r="AM105" i="36"/>
  <c r="AM106" i="36"/>
  <c r="Y106" i="36" s="1"/>
  <c r="AM107" i="36"/>
  <c r="Y107" i="36" s="1"/>
  <c r="AM108" i="36"/>
  <c r="AM109" i="36"/>
  <c r="AM110" i="36"/>
  <c r="AM111" i="36"/>
  <c r="AM112" i="36"/>
  <c r="AM113" i="36"/>
  <c r="AM114" i="36"/>
  <c r="AM115" i="36"/>
  <c r="AM116" i="36"/>
  <c r="AM117" i="36"/>
  <c r="AM118" i="36"/>
  <c r="AL3" i="36"/>
  <c r="AL4" i="36"/>
  <c r="AL5" i="36"/>
  <c r="AL6" i="36"/>
  <c r="AL7" i="36"/>
  <c r="AL8" i="36"/>
  <c r="AL9" i="36"/>
  <c r="AL10" i="36"/>
  <c r="AL11" i="36"/>
  <c r="AL12" i="36"/>
  <c r="AL13" i="36"/>
  <c r="AL14" i="36"/>
  <c r="AL15" i="36"/>
  <c r="AL16" i="36"/>
  <c r="AL17" i="36"/>
  <c r="AL18" i="36"/>
  <c r="AL19" i="36"/>
  <c r="AL20" i="36"/>
  <c r="AL21" i="36"/>
  <c r="AL22" i="36"/>
  <c r="AL23" i="36"/>
  <c r="AL24" i="36"/>
  <c r="AL25" i="36"/>
  <c r="AL26" i="36"/>
  <c r="AL27" i="36"/>
  <c r="AL28" i="36"/>
  <c r="AL29" i="36"/>
  <c r="AL30" i="36"/>
  <c r="AL31" i="36"/>
  <c r="AL32" i="36"/>
  <c r="AL33" i="36"/>
  <c r="AL34" i="36"/>
  <c r="AL35" i="36"/>
  <c r="AL36" i="36"/>
  <c r="AL37" i="36"/>
  <c r="AL38" i="36"/>
  <c r="AL39" i="36"/>
  <c r="AL40" i="36"/>
  <c r="AL41" i="36"/>
  <c r="AL42" i="36"/>
  <c r="AL43" i="36"/>
  <c r="AL44" i="36"/>
  <c r="AL45" i="36"/>
  <c r="AL46" i="36"/>
  <c r="AL47" i="36"/>
  <c r="AL48" i="36"/>
  <c r="AL49" i="36"/>
  <c r="AL50" i="36"/>
  <c r="AL51" i="36"/>
  <c r="AL52" i="36"/>
  <c r="AL53" i="36"/>
  <c r="AL54" i="36"/>
  <c r="AL55" i="36"/>
  <c r="AL56" i="36"/>
  <c r="AL57" i="36"/>
  <c r="AL58" i="36"/>
  <c r="AL59" i="36"/>
  <c r="AL60" i="36"/>
  <c r="AL61" i="36"/>
  <c r="AL62" i="36"/>
  <c r="AL63" i="36"/>
  <c r="AL64" i="36"/>
  <c r="AL65" i="36"/>
  <c r="AL66" i="36"/>
  <c r="AL67" i="36"/>
  <c r="AL68" i="36"/>
  <c r="AL69" i="36"/>
  <c r="AL70" i="36"/>
  <c r="AL71" i="36"/>
  <c r="AL72" i="36"/>
  <c r="AL73" i="36"/>
  <c r="AL74" i="36"/>
  <c r="AL75" i="36"/>
  <c r="AL76" i="36"/>
  <c r="AL77" i="36"/>
  <c r="AL78" i="36"/>
  <c r="AL79" i="36"/>
  <c r="AL80" i="36"/>
  <c r="AL81" i="36"/>
  <c r="AL82" i="36"/>
  <c r="AL83" i="36"/>
  <c r="AL84" i="36"/>
  <c r="AL85" i="36"/>
  <c r="AL86" i="36"/>
  <c r="AL87" i="36"/>
  <c r="AL88" i="36"/>
  <c r="AL89" i="36"/>
  <c r="AL90" i="36"/>
  <c r="AL91" i="36"/>
  <c r="AL92" i="36"/>
  <c r="AL93" i="36"/>
  <c r="AL94" i="36"/>
  <c r="AL95" i="36"/>
  <c r="AL96" i="36"/>
  <c r="AL97" i="36"/>
  <c r="AL98" i="36"/>
  <c r="AL99" i="36"/>
  <c r="AL100" i="36"/>
  <c r="AL101" i="36"/>
  <c r="AL102" i="36"/>
  <c r="AL103" i="36"/>
  <c r="AL104" i="36"/>
  <c r="AL105" i="36"/>
  <c r="AL106" i="36"/>
  <c r="AL107" i="36"/>
  <c r="AL108" i="36"/>
  <c r="AL109" i="36"/>
  <c r="AL110" i="36"/>
  <c r="AL111" i="36"/>
  <c r="AL112" i="36"/>
  <c r="AL113" i="36"/>
  <c r="AL114" i="36"/>
  <c r="AL115" i="36"/>
  <c r="AL116" i="36"/>
  <c r="AL117" i="36"/>
  <c r="AL118" i="36"/>
  <c r="AJ4" i="36"/>
  <c r="AJ5" i="36"/>
  <c r="AJ6" i="36"/>
  <c r="AJ7" i="36"/>
  <c r="W7" i="36" s="1"/>
  <c r="AJ8" i="36"/>
  <c r="W8" i="36" s="1"/>
  <c r="AJ9" i="36"/>
  <c r="W9" i="36" s="1"/>
  <c r="AJ10" i="36"/>
  <c r="AJ11" i="36"/>
  <c r="AJ12" i="36"/>
  <c r="AJ13" i="36"/>
  <c r="AJ14" i="36"/>
  <c r="AJ15" i="36"/>
  <c r="AJ16" i="36"/>
  <c r="AJ17" i="36"/>
  <c r="AJ18" i="36"/>
  <c r="AJ19" i="36"/>
  <c r="AJ20" i="36"/>
  <c r="W20" i="36" s="1"/>
  <c r="AJ21" i="36"/>
  <c r="W21" i="36" s="1"/>
  <c r="AJ22" i="36"/>
  <c r="AJ23" i="36"/>
  <c r="AJ24" i="36"/>
  <c r="AJ25" i="36"/>
  <c r="AJ26" i="36"/>
  <c r="AJ27" i="36"/>
  <c r="AJ28" i="36"/>
  <c r="AJ29" i="36"/>
  <c r="AJ30" i="36"/>
  <c r="AJ31" i="36"/>
  <c r="W31" i="36" s="1"/>
  <c r="AJ32" i="36"/>
  <c r="W32" i="36" s="1"/>
  <c r="AJ33" i="36"/>
  <c r="W33" i="36" s="1"/>
  <c r="AJ34" i="36"/>
  <c r="AJ35" i="36"/>
  <c r="AJ36" i="36"/>
  <c r="AJ37" i="36"/>
  <c r="AJ38" i="36"/>
  <c r="AJ39" i="36"/>
  <c r="AJ40" i="36"/>
  <c r="AJ41" i="36"/>
  <c r="AJ42" i="36"/>
  <c r="AJ43" i="36"/>
  <c r="W43" i="36" s="1"/>
  <c r="AJ44" i="36"/>
  <c r="W44" i="36" s="1"/>
  <c r="AJ45" i="36"/>
  <c r="W45" i="36" s="1"/>
  <c r="AJ46" i="36"/>
  <c r="AJ47" i="36"/>
  <c r="AJ48" i="36"/>
  <c r="AJ49" i="36"/>
  <c r="AJ50" i="36"/>
  <c r="AJ51" i="36"/>
  <c r="AJ52" i="36"/>
  <c r="AJ53" i="36"/>
  <c r="AJ54" i="36"/>
  <c r="AJ55" i="36"/>
  <c r="W55" i="36" s="1"/>
  <c r="AJ56" i="36"/>
  <c r="W56" i="36" s="1"/>
  <c r="AJ57" i="36"/>
  <c r="W57" i="36" s="1"/>
  <c r="AJ58" i="36"/>
  <c r="AJ59" i="36"/>
  <c r="AJ60" i="36"/>
  <c r="AJ61" i="36"/>
  <c r="AJ62" i="36"/>
  <c r="AJ63" i="36"/>
  <c r="AJ64" i="36"/>
  <c r="AJ65" i="36"/>
  <c r="AJ66" i="36"/>
  <c r="AJ67" i="36"/>
  <c r="W67" i="36" s="1"/>
  <c r="AJ68" i="36"/>
  <c r="W68" i="36" s="1"/>
  <c r="AJ69" i="36"/>
  <c r="W69" i="36" s="1"/>
  <c r="AJ70" i="36"/>
  <c r="AJ71" i="36"/>
  <c r="AJ72" i="36"/>
  <c r="AJ73" i="36"/>
  <c r="AJ74" i="36"/>
  <c r="AJ75" i="36"/>
  <c r="AJ76" i="36"/>
  <c r="AJ77" i="36"/>
  <c r="AJ78" i="36"/>
  <c r="AJ79" i="36"/>
  <c r="W79" i="36" s="1"/>
  <c r="AJ80" i="36"/>
  <c r="W80" i="36" s="1"/>
  <c r="AJ81" i="36"/>
  <c r="W81" i="36" s="1"/>
  <c r="AJ82" i="36"/>
  <c r="AJ83" i="36"/>
  <c r="AJ84" i="36"/>
  <c r="AJ85" i="36"/>
  <c r="AJ86" i="36"/>
  <c r="AJ87" i="36"/>
  <c r="AJ88" i="36"/>
  <c r="AJ89" i="36"/>
  <c r="AJ90" i="36"/>
  <c r="AJ91" i="36"/>
  <c r="W91" i="36" s="1"/>
  <c r="AJ92" i="36"/>
  <c r="W92" i="36" s="1"/>
  <c r="AJ93" i="36"/>
  <c r="W93" i="36" s="1"/>
  <c r="AJ94" i="36"/>
  <c r="AJ95" i="36"/>
  <c r="AJ96" i="36"/>
  <c r="AJ97" i="36"/>
  <c r="AJ98" i="36"/>
  <c r="AJ99" i="36"/>
  <c r="AJ100" i="36"/>
  <c r="AJ101" i="36"/>
  <c r="AJ102" i="36"/>
  <c r="AJ103" i="36"/>
  <c r="W103" i="36" s="1"/>
  <c r="AJ104" i="36"/>
  <c r="W104" i="36" s="1"/>
  <c r="AJ105" i="36"/>
  <c r="W105" i="36" s="1"/>
  <c r="AJ106" i="36"/>
  <c r="AJ107" i="36"/>
  <c r="AJ108" i="36"/>
  <c r="AJ109" i="36"/>
  <c r="AJ110" i="36"/>
  <c r="AJ111" i="36"/>
  <c r="AJ112" i="36"/>
  <c r="AJ113" i="36"/>
  <c r="AJ114" i="36"/>
  <c r="AJ115" i="36"/>
  <c r="W115" i="36" s="1"/>
  <c r="AJ116" i="36"/>
  <c r="W116" i="36" s="1"/>
  <c r="AJ117" i="36"/>
  <c r="W117" i="36" s="1"/>
  <c r="AJ118" i="36"/>
  <c r="AI4" i="36"/>
  <c r="AI5" i="36"/>
  <c r="AI6" i="36"/>
  <c r="AI7" i="36"/>
  <c r="AI8" i="36"/>
  <c r="AI9" i="36"/>
  <c r="AI10" i="36"/>
  <c r="AI11" i="36"/>
  <c r="AI12" i="36"/>
  <c r="AI13" i="36"/>
  <c r="Z13" i="36" s="1"/>
  <c r="AI14" i="36"/>
  <c r="V14" i="36" s="1"/>
  <c r="AI15" i="36"/>
  <c r="AI16" i="36"/>
  <c r="AI17" i="36"/>
  <c r="AI18" i="36"/>
  <c r="AI19" i="36"/>
  <c r="AI20" i="36"/>
  <c r="AI21" i="36"/>
  <c r="AI22" i="36"/>
  <c r="AI23" i="36"/>
  <c r="AI24" i="36"/>
  <c r="X24" i="36" s="1"/>
  <c r="AI25" i="36"/>
  <c r="Z25" i="36" s="1"/>
  <c r="AI26" i="36"/>
  <c r="V26" i="36" s="1"/>
  <c r="AI27" i="36"/>
  <c r="AI28" i="36"/>
  <c r="AI29" i="36"/>
  <c r="AI30" i="36"/>
  <c r="AI31" i="36"/>
  <c r="AI32" i="36"/>
  <c r="AI33" i="36"/>
  <c r="AI34" i="36"/>
  <c r="AI35" i="36"/>
  <c r="AI36" i="36"/>
  <c r="AI37" i="36"/>
  <c r="Z37" i="36" s="1"/>
  <c r="AI38" i="36"/>
  <c r="V38" i="36" s="1"/>
  <c r="AI39" i="36"/>
  <c r="AI40" i="36"/>
  <c r="AI41" i="36"/>
  <c r="AI42" i="36"/>
  <c r="AI43" i="36"/>
  <c r="AI44" i="36"/>
  <c r="AI45" i="36"/>
  <c r="AI46" i="36"/>
  <c r="AI47" i="36"/>
  <c r="AI48" i="36"/>
  <c r="AI49" i="36"/>
  <c r="Z49" i="36" s="1"/>
  <c r="AI50" i="36"/>
  <c r="V50" i="36" s="1"/>
  <c r="AI51" i="36"/>
  <c r="AI52" i="36"/>
  <c r="AI53" i="36"/>
  <c r="AI54" i="36"/>
  <c r="AI55" i="36"/>
  <c r="AI56" i="36"/>
  <c r="AI57" i="36"/>
  <c r="AI58" i="36"/>
  <c r="AI59" i="36"/>
  <c r="AI60" i="36"/>
  <c r="AI61" i="36"/>
  <c r="Z61" i="36" s="1"/>
  <c r="AI62" i="36"/>
  <c r="V62" i="36" s="1"/>
  <c r="AI63" i="36"/>
  <c r="AI64" i="36"/>
  <c r="AI65" i="36"/>
  <c r="AI66" i="36"/>
  <c r="AI67" i="36"/>
  <c r="AI68" i="36"/>
  <c r="AI69" i="36"/>
  <c r="AI70" i="36"/>
  <c r="AI71" i="36"/>
  <c r="AI72" i="36"/>
  <c r="X72" i="36" s="1"/>
  <c r="AI73" i="36"/>
  <c r="Z73" i="36" s="1"/>
  <c r="AI74" i="36"/>
  <c r="V74" i="36" s="1"/>
  <c r="AI75" i="36"/>
  <c r="AI76" i="36"/>
  <c r="AI77" i="36"/>
  <c r="AI78" i="36"/>
  <c r="AI79" i="36"/>
  <c r="AI80" i="36"/>
  <c r="AI81" i="36"/>
  <c r="AI82" i="36"/>
  <c r="AI83" i="36"/>
  <c r="V83" i="36" s="1"/>
  <c r="AI84" i="36"/>
  <c r="AI85" i="36"/>
  <c r="Z85" i="36" s="1"/>
  <c r="AI86" i="36"/>
  <c r="V86" i="36" s="1"/>
  <c r="AI87" i="36"/>
  <c r="AI88" i="36"/>
  <c r="AI89" i="36"/>
  <c r="AI90" i="36"/>
  <c r="AI91" i="36"/>
  <c r="AI92" i="36"/>
  <c r="AI93" i="36"/>
  <c r="AI94" i="36"/>
  <c r="AI95" i="36"/>
  <c r="AI96" i="36"/>
  <c r="AI97" i="36"/>
  <c r="Z97" i="36" s="1"/>
  <c r="AI98" i="36"/>
  <c r="V98" i="36" s="1"/>
  <c r="AI99" i="36"/>
  <c r="AI100" i="36"/>
  <c r="AI101" i="36"/>
  <c r="AI102" i="36"/>
  <c r="AI103" i="36"/>
  <c r="AI104" i="36"/>
  <c r="AI105" i="36"/>
  <c r="AI106" i="36"/>
  <c r="AI107" i="36"/>
  <c r="AI108" i="36"/>
  <c r="AI109" i="36"/>
  <c r="Z109" i="36" s="1"/>
  <c r="AI110" i="36"/>
  <c r="V110" i="36" s="1"/>
  <c r="AI111" i="36"/>
  <c r="AI112" i="36"/>
  <c r="AI113" i="36"/>
  <c r="AI114" i="36"/>
  <c r="AI115" i="36"/>
  <c r="AI116" i="36"/>
  <c r="AI117" i="36"/>
  <c r="AI118" i="36"/>
  <c r="AH4" i="36"/>
  <c r="AH5" i="36"/>
  <c r="V5" i="36" s="1"/>
  <c r="AH6" i="36"/>
  <c r="V6" i="36" s="1"/>
  <c r="AH7" i="36"/>
  <c r="V7" i="36" s="1"/>
  <c r="AH8" i="36"/>
  <c r="AH9" i="36"/>
  <c r="AH10" i="36"/>
  <c r="AH11" i="36"/>
  <c r="AH12" i="36"/>
  <c r="AH13" i="36"/>
  <c r="AH14" i="36"/>
  <c r="AH15" i="36"/>
  <c r="AH16" i="36"/>
  <c r="AH17" i="36"/>
  <c r="V17" i="36" s="1"/>
  <c r="AH18" i="36"/>
  <c r="V18" i="36" s="1"/>
  <c r="AH19" i="36"/>
  <c r="V19" i="36" s="1"/>
  <c r="AH20" i="36"/>
  <c r="AH21" i="36"/>
  <c r="AH22" i="36"/>
  <c r="AH23" i="36"/>
  <c r="AH24" i="36"/>
  <c r="AH25" i="36"/>
  <c r="AH26" i="36"/>
  <c r="AH27" i="36"/>
  <c r="AH28" i="36"/>
  <c r="AH29" i="36"/>
  <c r="V29" i="36" s="1"/>
  <c r="AH30" i="36"/>
  <c r="V30" i="36" s="1"/>
  <c r="AH31" i="36"/>
  <c r="AH32" i="36"/>
  <c r="AH33" i="36"/>
  <c r="AH34" i="36"/>
  <c r="AH35" i="36"/>
  <c r="AH36" i="36"/>
  <c r="AH37" i="36"/>
  <c r="AH38" i="36"/>
  <c r="AH39" i="36"/>
  <c r="AH40" i="36"/>
  <c r="V40" i="36" s="1"/>
  <c r="AH41" i="36"/>
  <c r="V41" i="36" s="1"/>
  <c r="AH42" i="36"/>
  <c r="AH43" i="36"/>
  <c r="V43" i="36" s="1"/>
  <c r="AH44" i="36"/>
  <c r="AH45" i="36"/>
  <c r="AH46" i="36"/>
  <c r="AH47" i="36"/>
  <c r="AH48" i="36"/>
  <c r="AH49" i="36"/>
  <c r="AH50" i="36"/>
  <c r="AH51" i="36"/>
  <c r="AH52" i="36"/>
  <c r="V52" i="36" s="1"/>
  <c r="AH53" i="36"/>
  <c r="AH54" i="36"/>
  <c r="V54" i="36" s="1"/>
  <c r="AH55" i="36"/>
  <c r="AH56" i="36"/>
  <c r="AH57" i="36"/>
  <c r="AH58" i="36"/>
  <c r="AH59" i="36"/>
  <c r="AH60" i="36"/>
  <c r="AH61" i="36"/>
  <c r="AH62" i="36"/>
  <c r="AH63" i="36"/>
  <c r="AH64" i="36"/>
  <c r="V64" i="36" s="1"/>
  <c r="AH65" i="36"/>
  <c r="V65" i="36" s="1"/>
  <c r="AH66" i="36"/>
  <c r="V66" i="36" s="1"/>
  <c r="AH67" i="36"/>
  <c r="AH68" i="36"/>
  <c r="AH69" i="36"/>
  <c r="AH70" i="36"/>
  <c r="AH71" i="36"/>
  <c r="AH72" i="36"/>
  <c r="AH73" i="36"/>
  <c r="AH74" i="36"/>
  <c r="AH75" i="36"/>
  <c r="AH76" i="36"/>
  <c r="V76" i="36" s="1"/>
  <c r="AH77" i="36"/>
  <c r="AH78" i="36"/>
  <c r="V78" i="36" s="1"/>
  <c r="AH79" i="36"/>
  <c r="V79" i="36" s="1"/>
  <c r="AH80" i="36"/>
  <c r="AH81" i="36"/>
  <c r="AH82" i="36"/>
  <c r="AH83" i="36"/>
  <c r="AH84" i="36"/>
  <c r="AH85" i="36"/>
  <c r="AH86" i="36"/>
  <c r="AH87" i="36"/>
  <c r="AH88" i="36"/>
  <c r="V88" i="36" s="1"/>
  <c r="AH89" i="36"/>
  <c r="AH90" i="36"/>
  <c r="V90" i="36" s="1"/>
  <c r="AH91" i="36"/>
  <c r="V91" i="36" s="1"/>
  <c r="AH92" i="36"/>
  <c r="AH93" i="36"/>
  <c r="AH94" i="36"/>
  <c r="AH95" i="36"/>
  <c r="AH96" i="36"/>
  <c r="AH97" i="36"/>
  <c r="AH98" i="36"/>
  <c r="AH99" i="36"/>
  <c r="AH100" i="36"/>
  <c r="V100" i="36" s="1"/>
  <c r="AH101" i="36"/>
  <c r="V101" i="36" s="1"/>
  <c r="AH102" i="36"/>
  <c r="V102" i="36" s="1"/>
  <c r="AH103" i="36"/>
  <c r="V103" i="36" s="1"/>
  <c r="AH104" i="36"/>
  <c r="AH105" i="36"/>
  <c r="AH106" i="36"/>
  <c r="AH107" i="36"/>
  <c r="AH108" i="36"/>
  <c r="AH109" i="36"/>
  <c r="AH110" i="36"/>
  <c r="AH111" i="36"/>
  <c r="AH112" i="36"/>
  <c r="V112" i="36" s="1"/>
  <c r="AH113" i="36"/>
  <c r="AH114" i="36"/>
  <c r="V114" i="36" s="1"/>
  <c r="AH115" i="36"/>
  <c r="V115" i="36" s="1"/>
  <c r="AH116" i="36"/>
  <c r="AH117" i="36"/>
  <c r="AH118" i="36"/>
  <c r="AG4" i="36"/>
  <c r="AG5" i="36"/>
  <c r="AG6" i="36"/>
  <c r="AG7" i="36"/>
  <c r="AG8" i="36"/>
  <c r="AG9" i="36"/>
  <c r="AG10" i="36"/>
  <c r="AG11" i="36"/>
  <c r="AG12" i="36"/>
  <c r="L12" i="36" s="1"/>
  <c r="AG13" i="36"/>
  <c r="AG14" i="36"/>
  <c r="AG15" i="36"/>
  <c r="AG16" i="36"/>
  <c r="AG17" i="36"/>
  <c r="AG18" i="36"/>
  <c r="AG19" i="36"/>
  <c r="AG20" i="36"/>
  <c r="AG21" i="36"/>
  <c r="AG22" i="36"/>
  <c r="L22" i="36" s="1"/>
  <c r="AG23" i="36"/>
  <c r="L23" i="36" s="1"/>
  <c r="AG24" i="36"/>
  <c r="L24" i="36" s="1"/>
  <c r="AG25" i="36"/>
  <c r="AG26" i="36"/>
  <c r="AG27" i="36"/>
  <c r="AG28" i="36"/>
  <c r="AG29" i="36"/>
  <c r="AG30" i="36"/>
  <c r="AG31" i="36"/>
  <c r="AG32" i="36"/>
  <c r="AG33" i="36"/>
  <c r="AG34" i="36"/>
  <c r="L34" i="36" s="1"/>
  <c r="AG35" i="36"/>
  <c r="L35" i="36" s="1"/>
  <c r="AG36" i="36"/>
  <c r="L36" i="36" s="1"/>
  <c r="AG37" i="36"/>
  <c r="AG38" i="36"/>
  <c r="AG39" i="36"/>
  <c r="AG40" i="36"/>
  <c r="AG41" i="36"/>
  <c r="AG42" i="36"/>
  <c r="AG43" i="36"/>
  <c r="AG44" i="36"/>
  <c r="AG45" i="36"/>
  <c r="AG46" i="36"/>
  <c r="L46" i="36" s="1"/>
  <c r="AG47" i="36"/>
  <c r="L47" i="36" s="1"/>
  <c r="AG48" i="36"/>
  <c r="L48" i="36" s="1"/>
  <c r="AG49" i="36"/>
  <c r="AG50" i="36"/>
  <c r="AG51" i="36"/>
  <c r="AG52" i="36"/>
  <c r="AG53" i="36"/>
  <c r="AG54" i="36"/>
  <c r="AG55" i="36"/>
  <c r="AG56" i="36"/>
  <c r="AG57" i="36"/>
  <c r="AG58" i="36"/>
  <c r="L58" i="36" s="1"/>
  <c r="AG59" i="36"/>
  <c r="L59" i="36" s="1"/>
  <c r="AG60" i="36"/>
  <c r="L60" i="36" s="1"/>
  <c r="AG61" i="36"/>
  <c r="AG62" i="36"/>
  <c r="AG63" i="36"/>
  <c r="AG64" i="36"/>
  <c r="AG65" i="36"/>
  <c r="AG66" i="36"/>
  <c r="AG67" i="36"/>
  <c r="AG68" i="36"/>
  <c r="AG69" i="36"/>
  <c r="AG70" i="36"/>
  <c r="L70" i="36" s="1"/>
  <c r="AG71" i="36"/>
  <c r="L71" i="36" s="1"/>
  <c r="AG72" i="36"/>
  <c r="L72" i="36" s="1"/>
  <c r="AG73" i="36"/>
  <c r="AG74" i="36"/>
  <c r="AG75" i="36"/>
  <c r="AG76" i="36"/>
  <c r="AG77" i="36"/>
  <c r="AG78" i="36"/>
  <c r="AG79" i="36"/>
  <c r="AG80" i="36"/>
  <c r="AG81" i="36"/>
  <c r="AG82" i="36"/>
  <c r="L82" i="36" s="1"/>
  <c r="AG83" i="36"/>
  <c r="L83" i="36" s="1"/>
  <c r="AG84" i="36"/>
  <c r="L84" i="36" s="1"/>
  <c r="AG85" i="36"/>
  <c r="AG86" i="36"/>
  <c r="AG87" i="36"/>
  <c r="AG88" i="36"/>
  <c r="AG89" i="36"/>
  <c r="AG90" i="36"/>
  <c r="AG91" i="36"/>
  <c r="AG92" i="36"/>
  <c r="AG93" i="36"/>
  <c r="AG94" i="36"/>
  <c r="AG95" i="36"/>
  <c r="AG96" i="36"/>
  <c r="L96" i="36" s="1"/>
  <c r="AG97" i="36"/>
  <c r="AG98" i="36"/>
  <c r="AG99" i="36"/>
  <c r="AG100" i="36"/>
  <c r="AG101" i="36"/>
  <c r="AG102" i="36"/>
  <c r="AG103" i="36"/>
  <c r="AG104" i="36"/>
  <c r="AG105" i="36"/>
  <c r="AG106" i="36"/>
  <c r="L106" i="36" s="1"/>
  <c r="AG107" i="36"/>
  <c r="L107" i="36" s="1"/>
  <c r="AG108" i="36"/>
  <c r="L108" i="36" s="1"/>
  <c r="AG109" i="36"/>
  <c r="AG110" i="36"/>
  <c r="AG111" i="36"/>
  <c r="AG112" i="36"/>
  <c r="AG113" i="36"/>
  <c r="AG114" i="36"/>
  <c r="AG115" i="36"/>
  <c r="AG116" i="36"/>
  <c r="AG117" i="36"/>
  <c r="AG118" i="36"/>
  <c r="L118" i="36" s="1"/>
  <c r="AF4" i="36"/>
  <c r="AF5" i="36"/>
  <c r="O5" i="36" s="1"/>
  <c r="AF6" i="36"/>
  <c r="AF7" i="36"/>
  <c r="AF8" i="36"/>
  <c r="AF9" i="36"/>
  <c r="AF10" i="36"/>
  <c r="AF11" i="36"/>
  <c r="AF12" i="36"/>
  <c r="AF13" i="36"/>
  <c r="AF14" i="36"/>
  <c r="O14" i="36" s="1"/>
  <c r="AF15" i="36"/>
  <c r="AF16" i="36"/>
  <c r="AF17" i="36"/>
  <c r="O17" i="36" s="1"/>
  <c r="AF18" i="36"/>
  <c r="AF19" i="36"/>
  <c r="AF20" i="36"/>
  <c r="AF21" i="36"/>
  <c r="AF22" i="36"/>
  <c r="AF23" i="36"/>
  <c r="AF24" i="36"/>
  <c r="AF25" i="36"/>
  <c r="AF26" i="36"/>
  <c r="AF27" i="36"/>
  <c r="AF28" i="36"/>
  <c r="O28" i="36" s="1"/>
  <c r="AF29" i="36"/>
  <c r="O29" i="36" s="1"/>
  <c r="AF30" i="36"/>
  <c r="AF31" i="36"/>
  <c r="AF32" i="36"/>
  <c r="AF33" i="36"/>
  <c r="AF34" i="36"/>
  <c r="AF35" i="36"/>
  <c r="AF36" i="36"/>
  <c r="AF37" i="36"/>
  <c r="AF38" i="36"/>
  <c r="O38" i="36" s="1"/>
  <c r="AF39" i="36"/>
  <c r="AF40" i="36"/>
  <c r="O40" i="36" s="1"/>
  <c r="AF41" i="36"/>
  <c r="O41" i="36" s="1"/>
  <c r="AF42" i="36"/>
  <c r="AF43" i="36"/>
  <c r="AF44" i="36"/>
  <c r="AF45" i="36"/>
  <c r="AF46" i="36"/>
  <c r="AF47" i="36"/>
  <c r="AF48" i="36"/>
  <c r="AF49" i="36"/>
  <c r="AF50" i="36"/>
  <c r="O50" i="36" s="1"/>
  <c r="AF51" i="36"/>
  <c r="AF52" i="36"/>
  <c r="AF53" i="36"/>
  <c r="O53" i="36" s="1"/>
  <c r="AF54" i="36"/>
  <c r="AF55" i="36"/>
  <c r="AF56" i="36"/>
  <c r="AF57" i="36"/>
  <c r="AF58" i="36"/>
  <c r="AF59" i="36"/>
  <c r="AF60" i="36"/>
  <c r="AF61" i="36"/>
  <c r="AF62" i="36"/>
  <c r="AF63" i="36"/>
  <c r="AF64" i="36"/>
  <c r="O64" i="36" s="1"/>
  <c r="AF65" i="36"/>
  <c r="O65" i="36" s="1"/>
  <c r="AF66" i="36"/>
  <c r="AF67" i="36"/>
  <c r="AF68" i="36"/>
  <c r="AF69" i="36"/>
  <c r="AF70" i="36"/>
  <c r="AF71" i="36"/>
  <c r="AF72" i="36"/>
  <c r="AF73" i="36"/>
  <c r="AF74" i="36"/>
  <c r="O74" i="36" s="1"/>
  <c r="AF75" i="36"/>
  <c r="AF76" i="36"/>
  <c r="O76" i="36" s="1"/>
  <c r="AF77" i="36"/>
  <c r="O77" i="36" s="1"/>
  <c r="AF78" i="36"/>
  <c r="AF79" i="36"/>
  <c r="AF80" i="36"/>
  <c r="AF81" i="36"/>
  <c r="AF82" i="36"/>
  <c r="AF83" i="36"/>
  <c r="AF84" i="36"/>
  <c r="AF85" i="36"/>
  <c r="AF86" i="36"/>
  <c r="O86" i="36" s="1"/>
  <c r="AF87" i="36"/>
  <c r="AF88" i="36"/>
  <c r="AF89" i="36"/>
  <c r="O89" i="36" s="1"/>
  <c r="AF90" i="36"/>
  <c r="AF91" i="36"/>
  <c r="AF92" i="36"/>
  <c r="AF93" i="36"/>
  <c r="AF94" i="36"/>
  <c r="AF95" i="36"/>
  <c r="AF96" i="36"/>
  <c r="AF97" i="36"/>
  <c r="AF98" i="36"/>
  <c r="AF99" i="36"/>
  <c r="AF100" i="36"/>
  <c r="AF101" i="36"/>
  <c r="AF102" i="36"/>
  <c r="AF103" i="36"/>
  <c r="AF104" i="36"/>
  <c r="AF105" i="36"/>
  <c r="AF106" i="36"/>
  <c r="AF107" i="36"/>
  <c r="AF108" i="36"/>
  <c r="AF109" i="36"/>
  <c r="AF110" i="36"/>
  <c r="O110" i="36" s="1"/>
  <c r="AF111" i="36"/>
  <c r="AF112" i="36"/>
  <c r="AF113" i="36"/>
  <c r="O113" i="36" s="1"/>
  <c r="AF114" i="36"/>
  <c r="AF115" i="36"/>
  <c r="AF116" i="36"/>
  <c r="AF117" i="36"/>
  <c r="AF118" i="36"/>
  <c r="AE4" i="36"/>
  <c r="AE5" i="36"/>
  <c r="AE6" i="36"/>
  <c r="AE7" i="36"/>
  <c r="O7" i="36" s="1"/>
  <c r="AE8" i="36"/>
  <c r="AE9" i="36"/>
  <c r="AE10" i="36"/>
  <c r="O10" i="36" s="1"/>
  <c r="AE11" i="36"/>
  <c r="AE12" i="36"/>
  <c r="O12" i="36" s="1"/>
  <c r="AE13" i="36"/>
  <c r="O13" i="36" s="1"/>
  <c r="AE14" i="36"/>
  <c r="AE15" i="36"/>
  <c r="AE16" i="36"/>
  <c r="AE17" i="36"/>
  <c r="AE18" i="36"/>
  <c r="AE19" i="36"/>
  <c r="O19" i="36" s="1"/>
  <c r="AE20" i="36"/>
  <c r="O20" i="36" s="1"/>
  <c r="AE21" i="36"/>
  <c r="AE22" i="36"/>
  <c r="O22" i="36" s="1"/>
  <c r="AE23" i="36"/>
  <c r="AE24" i="36"/>
  <c r="O24" i="36" s="1"/>
  <c r="AE25" i="36"/>
  <c r="O25" i="36" s="1"/>
  <c r="AE26" i="36"/>
  <c r="AE27" i="36"/>
  <c r="AE28" i="36"/>
  <c r="AE29" i="36"/>
  <c r="AE30" i="36"/>
  <c r="AE31" i="36"/>
  <c r="O31" i="36" s="1"/>
  <c r="AE32" i="36"/>
  <c r="AE33" i="36"/>
  <c r="AE34" i="36"/>
  <c r="O34" i="36" s="1"/>
  <c r="AE35" i="36"/>
  <c r="AE36" i="36"/>
  <c r="O36" i="36" s="1"/>
  <c r="AE37" i="36"/>
  <c r="O37" i="36" s="1"/>
  <c r="AE38" i="36"/>
  <c r="AE39" i="36"/>
  <c r="AE40" i="36"/>
  <c r="AE41" i="36"/>
  <c r="AE42" i="36"/>
  <c r="AE43" i="36"/>
  <c r="O43" i="36" s="1"/>
  <c r="AE44" i="36"/>
  <c r="AE45" i="36"/>
  <c r="O45" i="36" s="1"/>
  <c r="AE46" i="36"/>
  <c r="O46" i="36" s="1"/>
  <c r="AE47" i="36"/>
  <c r="AE48" i="36"/>
  <c r="O48" i="36" s="1"/>
  <c r="AE49" i="36"/>
  <c r="O49" i="36" s="1"/>
  <c r="AE50" i="36"/>
  <c r="AE51" i="36"/>
  <c r="AE52" i="36"/>
  <c r="AE53" i="36"/>
  <c r="AE54" i="36"/>
  <c r="AE55" i="36"/>
  <c r="O55" i="36" s="1"/>
  <c r="AE56" i="36"/>
  <c r="O56" i="36" s="1"/>
  <c r="AE57" i="36"/>
  <c r="AE58" i="36"/>
  <c r="O58" i="36" s="1"/>
  <c r="AE59" i="36"/>
  <c r="AE60" i="36"/>
  <c r="O60" i="36" s="1"/>
  <c r="AE61" i="36"/>
  <c r="O61" i="36" s="1"/>
  <c r="AE62" i="36"/>
  <c r="AE63" i="36"/>
  <c r="AE64" i="36"/>
  <c r="AE65" i="36"/>
  <c r="AE66" i="36"/>
  <c r="AE67" i="36"/>
  <c r="O67" i="36" s="1"/>
  <c r="AE68" i="36"/>
  <c r="AE69" i="36"/>
  <c r="AE70" i="36"/>
  <c r="AE71" i="36"/>
  <c r="AE72" i="36"/>
  <c r="O72" i="36" s="1"/>
  <c r="AE73" i="36"/>
  <c r="O73" i="36" s="1"/>
  <c r="AE74" i="36"/>
  <c r="AE75" i="36"/>
  <c r="AE76" i="36"/>
  <c r="AE77" i="36"/>
  <c r="AE78" i="36"/>
  <c r="AE79" i="36"/>
  <c r="O79" i="36" s="1"/>
  <c r="AE80" i="36"/>
  <c r="AE81" i="36"/>
  <c r="O81" i="36" s="1"/>
  <c r="AE82" i="36"/>
  <c r="O82" i="36" s="1"/>
  <c r="AE83" i="36"/>
  <c r="AE84" i="36"/>
  <c r="O84" i="36" s="1"/>
  <c r="AE85" i="36"/>
  <c r="O85" i="36" s="1"/>
  <c r="AE86" i="36"/>
  <c r="AE87" i="36"/>
  <c r="AE88" i="36"/>
  <c r="AE89" i="36"/>
  <c r="AE90" i="36"/>
  <c r="AE91" i="36"/>
  <c r="O91" i="36" s="1"/>
  <c r="AE92" i="36"/>
  <c r="O92" i="36" s="1"/>
  <c r="AE93" i="36"/>
  <c r="AE94" i="36"/>
  <c r="O94" i="36" s="1"/>
  <c r="AE95" i="36"/>
  <c r="AE96" i="36"/>
  <c r="O96" i="36" s="1"/>
  <c r="AE97" i="36"/>
  <c r="O97" i="36" s="1"/>
  <c r="AE98" i="36"/>
  <c r="AE99" i="36"/>
  <c r="AE100" i="36"/>
  <c r="AE101" i="36"/>
  <c r="AE102" i="36"/>
  <c r="AE103" i="36"/>
  <c r="O103" i="36" s="1"/>
  <c r="AE104" i="36"/>
  <c r="O104" i="36" s="1"/>
  <c r="AE105" i="36"/>
  <c r="AE106" i="36"/>
  <c r="O106" i="36" s="1"/>
  <c r="AE107" i="36"/>
  <c r="AE108" i="36"/>
  <c r="O108" i="36" s="1"/>
  <c r="AE109" i="36"/>
  <c r="O109" i="36" s="1"/>
  <c r="AE110" i="36"/>
  <c r="AE111" i="36"/>
  <c r="AE112" i="36"/>
  <c r="AE113" i="36"/>
  <c r="AE114" i="36"/>
  <c r="AE115" i="36"/>
  <c r="O115" i="36" s="1"/>
  <c r="AE116" i="36"/>
  <c r="AE117" i="36"/>
  <c r="O117" i="36" s="1"/>
  <c r="AE118" i="36"/>
  <c r="O118" i="36" s="1"/>
  <c r="AD4" i="36"/>
  <c r="AD5" i="36"/>
  <c r="AD6" i="36"/>
  <c r="AD7" i="36"/>
  <c r="AD8" i="36"/>
  <c r="AD9" i="36"/>
  <c r="AD10" i="36"/>
  <c r="AD11" i="36"/>
  <c r="AD12" i="36"/>
  <c r="AD13" i="36"/>
  <c r="AD14" i="36"/>
  <c r="W14" i="36" s="1"/>
  <c r="AD15" i="36"/>
  <c r="W15" i="36" s="1"/>
  <c r="AD16" i="36"/>
  <c r="AD17" i="36"/>
  <c r="AD18" i="36"/>
  <c r="AD19" i="36"/>
  <c r="AD20" i="36"/>
  <c r="AD21" i="36"/>
  <c r="AD22" i="36"/>
  <c r="AD23" i="36"/>
  <c r="AD24" i="36"/>
  <c r="AD25" i="36"/>
  <c r="AD26" i="36"/>
  <c r="W26" i="36" s="1"/>
  <c r="AD27" i="36"/>
  <c r="W27" i="36" s="1"/>
  <c r="AD28" i="36"/>
  <c r="AD29" i="36"/>
  <c r="W29" i="36" s="1"/>
  <c r="AD30" i="36"/>
  <c r="AD31" i="36"/>
  <c r="AD32" i="36"/>
  <c r="AD33" i="36"/>
  <c r="AD34" i="36"/>
  <c r="W34" i="36" s="1"/>
  <c r="AD35" i="36"/>
  <c r="AD36" i="36"/>
  <c r="W36" i="36" s="1"/>
  <c r="AD37" i="36"/>
  <c r="AD38" i="36"/>
  <c r="W38" i="36" s="1"/>
  <c r="AD39" i="36"/>
  <c r="W39" i="36" s="1"/>
  <c r="AD40" i="36"/>
  <c r="AD41" i="36"/>
  <c r="W41" i="36" s="1"/>
  <c r="AD42" i="36"/>
  <c r="AD43" i="36"/>
  <c r="AD44" i="36"/>
  <c r="AD45" i="36"/>
  <c r="AD46" i="36"/>
  <c r="W46" i="36" s="1"/>
  <c r="AD47" i="36"/>
  <c r="AD48" i="36"/>
  <c r="AD49" i="36"/>
  <c r="AD50" i="36"/>
  <c r="W50" i="36" s="1"/>
  <c r="AD51" i="36"/>
  <c r="W51" i="36" s="1"/>
  <c r="AD52" i="36"/>
  <c r="AD53" i="36"/>
  <c r="AD54" i="36"/>
  <c r="AD55" i="36"/>
  <c r="AD56" i="36"/>
  <c r="AD57" i="36"/>
  <c r="AD58" i="36"/>
  <c r="W58" i="36" s="1"/>
  <c r="AD59" i="36"/>
  <c r="AD60" i="36"/>
  <c r="AD61" i="36"/>
  <c r="AD62" i="36"/>
  <c r="W62" i="36" s="1"/>
  <c r="AD63" i="36"/>
  <c r="W63" i="36" s="1"/>
  <c r="AD64" i="36"/>
  <c r="W64" i="36" s="1"/>
  <c r="AD65" i="36"/>
  <c r="W65" i="36" s="1"/>
  <c r="AD66" i="36"/>
  <c r="AD67" i="36"/>
  <c r="AD68" i="36"/>
  <c r="AD69" i="36"/>
  <c r="AD70" i="36"/>
  <c r="W70" i="36" s="1"/>
  <c r="AD71" i="36"/>
  <c r="AD72" i="36"/>
  <c r="AD73" i="36"/>
  <c r="AD74" i="36"/>
  <c r="W74" i="36" s="1"/>
  <c r="AD75" i="36"/>
  <c r="W75" i="36" s="1"/>
  <c r="AD76" i="36"/>
  <c r="AD77" i="36"/>
  <c r="W77" i="36" s="1"/>
  <c r="AD78" i="36"/>
  <c r="AD79" i="36"/>
  <c r="AD80" i="36"/>
  <c r="AD81" i="36"/>
  <c r="AD82" i="36"/>
  <c r="W82" i="36" s="1"/>
  <c r="AD83" i="36"/>
  <c r="AD84" i="36"/>
  <c r="AD85" i="36"/>
  <c r="AD86" i="36"/>
  <c r="W86" i="36" s="1"/>
  <c r="AD87" i="36"/>
  <c r="W87" i="36" s="1"/>
  <c r="AD88" i="36"/>
  <c r="AD89" i="36"/>
  <c r="AD90" i="36"/>
  <c r="AD91" i="36"/>
  <c r="AD92" i="36"/>
  <c r="AD93" i="36"/>
  <c r="AD94" i="36"/>
  <c r="W94" i="36" s="1"/>
  <c r="AD95" i="36"/>
  <c r="AD96" i="36"/>
  <c r="AD97" i="36"/>
  <c r="AD98" i="36"/>
  <c r="W98" i="36" s="1"/>
  <c r="AD99" i="36"/>
  <c r="W99" i="36" s="1"/>
  <c r="AD100" i="36"/>
  <c r="AD101" i="36"/>
  <c r="W101" i="36" s="1"/>
  <c r="AD102" i="36"/>
  <c r="W102" i="36" s="1"/>
  <c r="AD103" i="36"/>
  <c r="AD104" i="36"/>
  <c r="AD105" i="36"/>
  <c r="AD106" i="36"/>
  <c r="W106" i="36" s="1"/>
  <c r="AD107" i="36"/>
  <c r="AD108" i="36"/>
  <c r="AD109" i="36"/>
  <c r="AD110" i="36"/>
  <c r="W110" i="36" s="1"/>
  <c r="AD111" i="36"/>
  <c r="W111" i="36" s="1"/>
  <c r="AD112" i="36"/>
  <c r="AD113" i="36"/>
  <c r="W113" i="36" s="1"/>
  <c r="AD114" i="36"/>
  <c r="W114" i="36" s="1"/>
  <c r="AD115" i="36"/>
  <c r="AD116" i="36"/>
  <c r="AD117" i="36"/>
  <c r="AD118" i="36"/>
  <c r="W118" i="36" s="1"/>
  <c r="AC4" i="36"/>
  <c r="AC5" i="36"/>
  <c r="AC6" i="36"/>
  <c r="AC7" i="36"/>
  <c r="AC8" i="36"/>
  <c r="AC9" i="36"/>
  <c r="AC15" i="36"/>
  <c r="AC16" i="36"/>
  <c r="AC17" i="36"/>
  <c r="AC21" i="36"/>
  <c r="AC27" i="36"/>
  <c r="AC28" i="36"/>
  <c r="AC29" i="36"/>
  <c r="AC33" i="36"/>
  <c r="AC34" i="36"/>
  <c r="AC39" i="36"/>
  <c r="AC40" i="36"/>
  <c r="AC41" i="36"/>
  <c r="AC45" i="36"/>
  <c r="AC51" i="36"/>
  <c r="AC52" i="36"/>
  <c r="AC53" i="36"/>
  <c r="AC57" i="36"/>
  <c r="AC63" i="36"/>
  <c r="AC64" i="36"/>
  <c r="AC65" i="36"/>
  <c r="AC69" i="36"/>
  <c r="AC75" i="36"/>
  <c r="AC76" i="36"/>
  <c r="AC77" i="36"/>
  <c r="AC81" i="36"/>
  <c r="AC82" i="36"/>
  <c r="AC83" i="36"/>
  <c r="AC87" i="36"/>
  <c r="AC88" i="36"/>
  <c r="AC89" i="36"/>
  <c r="AC93" i="36"/>
  <c r="AC99" i="36"/>
  <c r="AC100" i="36"/>
  <c r="AC101" i="36"/>
  <c r="AC105" i="36"/>
  <c r="AC111" i="36"/>
  <c r="AC112" i="36"/>
  <c r="AC113" i="36"/>
  <c r="AC117" i="36"/>
  <c r="AB5" i="36"/>
  <c r="AB6" i="36"/>
  <c r="AB7" i="36"/>
  <c r="AB20" i="36"/>
  <c r="AB21" i="36"/>
  <c r="AB33" i="36"/>
  <c r="AB34" i="36"/>
  <c r="AB35" i="36"/>
  <c r="AB47" i="36"/>
  <c r="AB49" i="36"/>
  <c r="AB51" i="36"/>
  <c r="AB63" i="36"/>
  <c r="AB78" i="36"/>
  <c r="AB92" i="36"/>
  <c r="AB106" i="36"/>
  <c r="AB107" i="36"/>
  <c r="Z5" i="36"/>
  <c r="Z77" i="36"/>
  <c r="Z78" i="36"/>
  <c r="Z101" i="36"/>
  <c r="Y57" i="36"/>
  <c r="Y58" i="36"/>
  <c r="X18" i="36"/>
  <c r="X19" i="36"/>
  <c r="X21" i="36"/>
  <c r="X23" i="36"/>
  <c r="X40" i="36"/>
  <c r="X42" i="36"/>
  <c r="X43" i="36"/>
  <c r="X47" i="36"/>
  <c r="X66" i="36"/>
  <c r="X67" i="36"/>
  <c r="X70" i="36"/>
  <c r="X71" i="36"/>
  <c r="X90" i="36"/>
  <c r="X91" i="36"/>
  <c r="X93" i="36"/>
  <c r="X95" i="36"/>
  <c r="X114" i="36"/>
  <c r="X115" i="36"/>
  <c r="W4" i="36"/>
  <c r="W5" i="36"/>
  <c r="W6" i="36"/>
  <c r="W10" i="36"/>
  <c r="W11" i="36"/>
  <c r="W16" i="36"/>
  <c r="W17" i="36"/>
  <c r="W18" i="36"/>
  <c r="W19" i="36"/>
  <c r="W22" i="36"/>
  <c r="W23" i="36"/>
  <c r="W28" i="36"/>
  <c r="W30" i="36"/>
  <c r="W35" i="36"/>
  <c r="W40" i="36"/>
  <c r="W42" i="36"/>
  <c r="W47" i="36"/>
  <c r="W52" i="36"/>
  <c r="W53" i="36"/>
  <c r="W54" i="36"/>
  <c r="W59" i="36"/>
  <c r="W66" i="36"/>
  <c r="W71" i="36"/>
  <c r="W76" i="36"/>
  <c r="W78" i="36"/>
  <c r="W83" i="36"/>
  <c r="W88" i="36"/>
  <c r="W89" i="36"/>
  <c r="W90" i="36"/>
  <c r="W95" i="36"/>
  <c r="W100" i="36"/>
  <c r="W107" i="36"/>
  <c r="W108" i="36"/>
  <c r="W112" i="36"/>
  <c r="V4" i="36"/>
  <c r="V8" i="36"/>
  <c r="V9" i="36"/>
  <c r="V10" i="36"/>
  <c r="V11" i="36"/>
  <c r="V16" i="36"/>
  <c r="V20" i="36"/>
  <c r="V21" i="36"/>
  <c r="V22" i="36"/>
  <c r="V23" i="36"/>
  <c r="V28" i="36"/>
  <c r="V32" i="36"/>
  <c r="V34" i="36"/>
  <c r="V35" i="36"/>
  <c r="V42" i="36"/>
  <c r="V44" i="36"/>
  <c r="V45" i="36"/>
  <c r="V46" i="36"/>
  <c r="V47" i="36"/>
  <c r="V56" i="36"/>
  <c r="V58" i="36"/>
  <c r="V59" i="36"/>
  <c r="V68" i="36"/>
  <c r="V70" i="36"/>
  <c r="V71" i="36"/>
  <c r="V80" i="36"/>
  <c r="V81" i="36"/>
  <c r="V82" i="36"/>
  <c r="V93" i="36"/>
  <c r="V94" i="36"/>
  <c r="V95" i="36"/>
  <c r="V104" i="36"/>
  <c r="V106" i="36"/>
  <c r="V107" i="36"/>
  <c r="V117" i="36"/>
  <c r="V118" i="36"/>
  <c r="U4" i="36"/>
  <c r="U5" i="36"/>
  <c r="U6" i="36"/>
  <c r="X6" i="36" s="1"/>
  <c r="U7" i="36"/>
  <c r="X7" i="36" s="1"/>
  <c r="U8" i="36"/>
  <c r="U9" i="36"/>
  <c r="U10" i="36"/>
  <c r="U11" i="36"/>
  <c r="X11" i="36" s="1"/>
  <c r="U12" i="36"/>
  <c r="U13" i="36"/>
  <c r="X13" i="36" s="1"/>
  <c r="U14" i="36"/>
  <c r="K14" i="36" s="1"/>
  <c r="U15" i="36"/>
  <c r="U16" i="36"/>
  <c r="U17" i="36"/>
  <c r="Z17" i="36" s="1"/>
  <c r="U18" i="36"/>
  <c r="U19" i="36"/>
  <c r="U20" i="36"/>
  <c r="U21" i="36"/>
  <c r="U22" i="36"/>
  <c r="X22" i="36" s="1"/>
  <c r="U23" i="36"/>
  <c r="U24" i="36"/>
  <c r="U25" i="36"/>
  <c r="U26" i="36"/>
  <c r="K26" i="36" s="1"/>
  <c r="U27" i="36"/>
  <c r="U28" i="36"/>
  <c r="U29" i="36"/>
  <c r="Z29" i="36" s="1"/>
  <c r="U30" i="36"/>
  <c r="X30" i="36" s="1"/>
  <c r="U31" i="36"/>
  <c r="X31" i="36" s="1"/>
  <c r="U32" i="36"/>
  <c r="U33" i="36"/>
  <c r="U34" i="36"/>
  <c r="X34" i="36" s="1"/>
  <c r="U35" i="36"/>
  <c r="X35" i="36" s="1"/>
  <c r="U36" i="36"/>
  <c r="Z36" i="36" s="1"/>
  <c r="U37" i="36"/>
  <c r="X37" i="36" s="1"/>
  <c r="U38" i="36"/>
  <c r="K38" i="36" s="1"/>
  <c r="U39" i="36"/>
  <c r="U40" i="36"/>
  <c r="U41" i="36"/>
  <c r="Z41" i="36" s="1"/>
  <c r="U42" i="36"/>
  <c r="U43" i="36"/>
  <c r="U44" i="36"/>
  <c r="U45" i="36"/>
  <c r="U46" i="36"/>
  <c r="X46" i="36" s="1"/>
  <c r="U47" i="36"/>
  <c r="U48" i="36"/>
  <c r="U49" i="36"/>
  <c r="U50" i="36"/>
  <c r="K50" i="36" s="1"/>
  <c r="U51" i="36"/>
  <c r="U52" i="36"/>
  <c r="K52" i="36" s="1"/>
  <c r="U53" i="36"/>
  <c r="Z53" i="36" s="1"/>
  <c r="U54" i="36"/>
  <c r="X54" i="36" s="1"/>
  <c r="U55" i="36"/>
  <c r="X55" i="36" s="1"/>
  <c r="U56" i="36"/>
  <c r="U57" i="36"/>
  <c r="X57" i="36" s="1"/>
  <c r="U58" i="36"/>
  <c r="X58" i="36" s="1"/>
  <c r="U59" i="36"/>
  <c r="X59" i="36" s="1"/>
  <c r="U60" i="36"/>
  <c r="U61" i="36"/>
  <c r="U62" i="36"/>
  <c r="U63" i="36"/>
  <c r="U64" i="36"/>
  <c r="U65" i="36"/>
  <c r="Z65" i="36" s="1"/>
  <c r="U66" i="36"/>
  <c r="U67" i="36"/>
  <c r="U68" i="36"/>
  <c r="U69" i="36"/>
  <c r="U70" i="36"/>
  <c r="U71" i="36"/>
  <c r="U72" i="36"/>
  <c r="U73" i="36"/>
  <c r="X73" i="36" s="1"/>
  <c r="U74" i="36"/>
  <c r="K74" i="36" s="1"/>
  <c r="U75" i="36"/>
  <c r="U76" i="36"/>
  <c r="U77" i="36"/>
  <c r="U78" i="36"/>
  <c r="X78" i="36" s="1"/>
  <c r="U79" i="36"/>
  <c r="X79" i="36" s="1"/>
  <c r="U80" i="36"/>
  <c r="U81" i="36"/>
  <c r="U82" i="36"/>
  <c r="X82" i="36" s="1"/>
  <c r="U83" i="36"/>
  <c r="X83" i="36" s="1"/>
  <c r="U84" i="36"/>
  <c r="U85" i="36"/>
  <c r="U86" i="36"/>
  <c r="K86" i="36" s="1"/>
  <c r="U87" i="36"/>
  <c r="U88" i="36"/>
  <c r="U89" i="36"/>
  <c r="Z89" i="36" s="1"/>
  <c r="U90" i="36"/>
  <c r="U91" i="36"/>
  <c r="U92" i="36"/>
  <c r="U93" i="36"/>
  <c r="U94" i="36"/>
  <c r="X94" i="36" s="1"/>
  <c r="U95" i="36"/>
  <c r="U96" i="36"/>
  <c r="U97" i="36"/>
  <c r="U98" i="36"/>
  <c r="K98" i="36" s="1"/>
  <c r="U99" i="36"/>
  <c r="U100" i="36"/>
  <c r="U101" i="36"/>
  <c r="U102" i="36"/>
  <c r="X102" i="36" s="1"/>
  <c r="U103" i="36"/>
  <c r="X103" i="36" s="1"/>
  <c r="U104" i="36"/>
  <c r="U105" i="36"/>
  <c r="U106" i="36"/>
  <c r="U107" i="36"/>
  <c r="X107" i="36" s="1"/>
  <c r="U108" i="36"/>
  <c r="U109" i="36"/>
  <c r="X109" i="36" s="1"/>
  <c r="U110" i="36"/>
  <c r="K110" i="36" s="1"/>
  <c r="U111" i="36"/>
  <c r="U112" i="36"/>
  <c r="U113" i="36"/>
  <c r="Z113" i="36" s="1"/>
  <c r="U114" i="36"/>
  <c r="U115" i="36"/>
  <c r="U116" i="36"/>
  <c r="U117" i="36"/>
  <c r="U118" i="36"/>
  <c r="T4" i="36"/>
  <c r="T5" i="36"/>
  <c r="T6" i="36"/>
  <c r="T7" i="36"/>
  <c r="T8" i="36"/>
  <c r="T9" i="36"/>
  <c r="T12" i="36"/>
  <c r="T16" i="36"/>
  <c r="T17" i="36"/>
  <c r="T18" i="36"/>
  <c r="T19" i="36"/>
  <c r="T20" i="36"/>
  <c r="T21" i="36"/>
  <c r="T22" i="36"/>
  <c r="T23" i="36"/>
  <c r="T24" i="36"/>
  <c r="T25" i="36"/>
  <c r="T26" i="36"/>
  <c r="T27" i="36"/>
  <c r="T29" i="36"/>
  <c r="T31" i="36"/>
  <c r="T32" i="36"/>
  <c r="T33" i="36"/>
  <c r="T34" i="36"/>
  <c r="T35" i="36"/>
  <c r="T36" i="36"/>
  <c r="T37" i="36"/>
  <c r="T39" i="36"/>
  <c r="T40" i="36"/>
  <c r="T42" i="36"/>
  <c r="T43" i="36"/>
  <c r="T45" i="36"/>
  <c r="T46" i="36"/>
  <c r="T47" i="36"/>
  <c r="T50" i="36"/>
  <c r="T54" i="36"/>
  <c r="T57" i="36"/>
  <c r="T58" i="36"/>
  <c r="T59" i="36"/>
  <c r="T63" i="36"/>
  <c r="T64" i="36"/>
  <c r="T65" i="36"/>
  <c r="T66" i="36"/>
  <c r="T69" i="36"/>
  <c r="T70" i="36"/>
  <c r="T71" i="36"/>
  <c r="T72" i="36"/>
  <c r="T73" i="36"/>
  <c r="T74" i="36"/>
  <c r="T75" i="36"/>
  <c r="T78" i="36"/>
  <c r="T81" i="36"/>
  <c r="T87" i="36"/>
  <c r="T88" i="36"/>
  <c r="T89" i="36"/>
  <c r="T90" i="36"/>
  <c r="T91" i="36"/>
  <c r="T92" i="36"/>
  <c r="T93" i="36"/>
  <c r="T94" i="36"/>
  <c r="T95" i="36"/>
  <c r="T96" i="36"/>
  <c r="T98" i="36"/>
  <c r="T99" i="36"/>
  <c r="T100" i="36"/>
  <c r="T101" i="36"/>
  <c r="T102" i="36"/>
  <c r="T103" i="36"/>
  <c r="T104" i="36"/>
  <c r="T105" i="36"/>
  <c r="T108" i="36"/>
  <c r="T109" i="36"/>
  <c r="T111" i="36"/>
  <c r="T112" i="36"/>
  <c r="T113" i="36"/>
  <c r="T114" i="36"/>
  <c r="T115" i="36"/>
  <c r="T116" i="36"/>
  <c r="T117" i="36"/>
  <c r="T118" i="36"/>
  <c r="S4" i="36"/>
  <c r="S5" i="36"/>
  <c r="S6" i="36"/>
  <c r="S7" i="36"/>
  <c r="S8" i="36"/>
  <c r="S9" i="36"/>
  <c r="S10" i="36"/>
  <c r="S11" i="36"/>
  <c r="S12" i="36"/>
  <c r="S13" i="36"/>
  <c r="S14" i="36"/>
  <c r="S15" i="36"/>
  <c r="T15" i="36" s="1"/>
  <c r="S16" i="36"/>
  <c r="S17" i="36"/>
  <c r="S18" i="36"/>
  <c r="S19" i="36"/>
  <c r="S20" i="36"/>
  <c r="S21" i="36"/>
  <c r="S22" i="36"/>
  <c r="S23" i="36"/>
  <c r="S24" i="36"/>
  <c r="S25" i="36"/>
  <c r="S26" i="36"/>
  <c r="S27" i="36"/>
  <c r="S28" i="36"/>
  <c r="T28" i="36" s="1"/>
  <c r="S29" i="36"/>
  <c r="S30" i="36"/>
  <c r="T30" i="36" s="1"/>
  <c r="S31" i="36"/>
  <c r="S32" i="36"/>
  <c r="S33" i="36"/>
  <c r="S34" i="36"/>
  <c r="S35" i="36"/>
  <c r="S36" i="36"/>
  <c r="S37" i="36"/>
  <c r="S38" i="36"/>
  <c r="S39" i="36"/>
  <c r="S40" i="36"/>
  <c r="S41" i="36"/>
  <c r="T41" i="36" s="1"/>
  <c r="S42" i="36"/>
  <c r="S43" i="36"/>
  <c r="S44" i="36"/>
  <c r="T44" i="36" s="1"/>
  <c r="S45" i="36"/>
  <c r="S46" i="36"/>
  <c r="S47" i="36"/>
  <c r="S48" i="36"/>
  <c r="S49" i="36"/>
  <c r="S50" i="36"/>
  <c r="S51" i="36"/>
  <c r="T51" i="36" s="1"/>
  <c r="S52" i="36"/>
  <c r="T52" i="36" s="1"/>
  <c r="S53" i="36"/>
  <c r="T53" i="36" s="1"/>
  <c r="S54" i="36"/>
  <c r="S55" i="36"/>
  <c r="T55" i="36" s="1"/>
  <c r="S56" i="36"/>
  <c r="T56" i="36" s="1"/>
  <c r="S57" i="36"/>
  <c r="S58" i="36"/>
  <c r="S59" i="36"/>
  <c r="S60" i="36"/>
  <c r="S61" i="36"/>
  <c r="S62" i="36"/>
  <c r="S63" i="36"/>
  <c r="S64" i="36"/>
  <c r="S65" i="36"/>
  <c r="S66" i="36"/>
  <c r="S67" i="36"/>
  <c r="T67" i="36" s="1"/>
  <c r="S68" i="36"/>
  <c r="T68" i="36" s="1"/>
  <c r="S69" i="36"/>
  <c r="S70" i="36"/>
  <c r="S71" i="36"/>
  <c r="S72" i="36"/>
  <c r="S73" i="36"/>
  <c r="S74" i="36"/>
  <c r="S75" i="36"/>
  <c r="S76" i="36"/>
  <c r="T76" i="36" s="1"/>
  <c r="S77" i="36"/>
  <c r="T77" i="36" s="1"/>
  <c r="S78" i="36"/>
  <c r="S79" i="36"/>
  <c r="T79" i="36" s="1"/>
  <c r="S80" i="36"/>
  <c r="T80" i="36" s="1"/>
  <c r="S81" i="36"/>
  <c r="S82" i="36"/>
  <c r="S83" i="36"/>
  <c r="S84" i="36"/>
  <c r="S85" i="36"/>
  <c r="S86" i="36"/>
  <c r="S87" i="36"/>
  <c r="S88" i="36"/>
  <c r="S89" i="36"/>
  <c r="S90" i="36"/>
  <c r="S91" i="36"/>
  <c r="S92" i="36"/>
  <c r="S93" i="36"/>
  <c r="S94" i="36"/>
  <c r="S95" i="36"/>
  <c r="S96" i="36"/>
  <c r="S97" i="36"/>
  <c r="S98" i="36"/>
  <c r="S99" i="36"/>
  <c r="S100" i="36"/>
  <c r="S101" i="36"/>
  <c r="S102" i="36"/>
  <c r="S103" i="36"/>
  <c r="S104" i="36"/>
  <c r="S105" i="36"/>
  <c r="S106" i="36"/>
  <c r="S107" i="36"/>
  <c r="S108" i="36"/>
  <c r="S109" i="36"/>
  <c r="S110" i="36"/>
  <c r="S111" i="36"/>
  <c r="S112" i="36"/>
  <c r="S113" i="36"/>
  <c r="S114" i="36"/>
  <c r="S115" i="36"/>
  <c r="S116" i="36"/>
  <c r="S117" i="36"/>
  <c r="S118" i="36"/>
  <c r="R4" i="36"/>
  <c r="L4" i="36" s="1"/>
  <c r="R5" i="36"/>
  <c r="K5" i="36" s="1"/>
  <c r="R6" i="36"/>
  <c r="R7" i="36"/>
  <c r="R8" i="36"/>
  <c r="R9" i="36"/>
  <c r="R10" i="36"/>
  <c r="R11" i="36"/>
  <c r="R12" i="36"/>
  <c r="R13" i="36"/>
  <c r="R14" i="36"/>
  <c r="L14" i="36" s="1"/>
  <c r="R15" i="36"/>
  <c r="R16" i="36"/>
  <c r="L16" i="36" s="1"/>
  <c r="R17" i="36"/>
  <c r="R18" i="36"/>
  <c r="R19" i="36"/>
  <c r="R20" i="36"/>
  <c r="R21" i="36"/>
  <c r="R22" i="36"/>
  <c r="R23" i="36"/>
  <c r="R24" i="36"/>
  <c r="R25" i="36"/>
  <c r="R26" i="36"/>
  <c r="M26" i="36" s="1"/>
  <c r="R27" i="36"/>
  <c r="R28" i="36"/>
  <c r="K28" i="36" s="1"/>
  <c r="R29" i="36"/>
  <c r="K29" i="36" s="1"/>
  <c r="R30" i="36"/>
  <c r="R31" i="36"/>
  <c r="R32" i="36"/>
  <c r="R33" i="36"/>
  <c r="R34" i="36"/>
  <c r="R35" i="36"/>
  <c r="R36" i="36"/>
  <c r="R37" i="36"/>
  <c r="R38" i="36"/>
  <c r="N38" i="36" s="1"/>
  <c r="R39" i="36"/>
  <c r="R40" i="36"/>
  <c r="R41" i="36"/>
  <c r="N41" i="36" s="1"/>
  <c r="AA41" i="36" s="1"/>
  <c r="R42" i="36"/>
  <c r="R43" i="36"/>
  <c r="N43" i="36" s="1"/>
  <c r="Y43" i="36" s="1"/>
  <c r="R44" i="36"/>
  <c r="R45" i="36"/>
  <c r="R46" i="36"/>
  <c r="R47" i="36"/>
  <c r="R48" i="36"/>
  <c r="R49" i="36"/>
  <c r="R50" i="36"/>
  <c r="N50" i="36" s="1"/>
  <c r="R51" i="36"/>
  <c r="R52" i="36"/>
  <c r="M52" i="36" s="1"/>
  <c r="R53" i="36"/>
  <c r="M53" i="36" s="1"/>
  <c r="R54" i="36"/>
  <c r="R55" i="36"/>
  <c r="R56" i="36"/>
  <c r="R57" i="36"/>
  <c r="R58" i="36"/>
  <c r="R59" i="36"/>
  <c r="R60" i="36"/>
  <c r="R61" i="36"/>
  <c r="R62" i="36"/>
  <c r="M62" i="36" s="1"/>
  <c r="R63" i="36"/>
  <c r="R64" i="36"/>
  <c r="M64" i="36" s="1"/>
  <c r="R65" i="36"/>
  <c r="M65" i="36" s="1"/>
  <c r="R66" i="36"/>
  <c r="R67" i="36"/>
  <c r="R68" i="36"/>
  <c r="R69" i="36"/>
  <c r="R70" i="36"/>
  <c r="R71" i="36"/>
  <c r="R72" i="36"/>
  <c r="R73" i="36"/>
  <c r="R74" i="36"/>
  <c r="N74" i="36" s="1"/>
  <c r="R75" i="36"/>
  <c r="R76" i="36"/>
  <c r="L76" i="36" s="1"/>
  <c r="R77" i="36"/>
  <c r="M77" i="36" s="1"/>
  <c r="R78" i="36"/>
  <c r="R79" i="36"/>
  <c r="R80" i="36"/>
  <c r="R81" i="36"/>
  <c r="R82" i="36"/>
  <c r="N82" i="36" s="1"/>
  <c r="R83" i="36"/>
  <c r="R84" i="36"/>
  <c r="R85" i="36"/>
  <c r="R86" i="36"/>
  <c r="N86" i="36" s="1"/>
  <c r="R87" i="36"/>
  <c r="R88" i="36"/>
  <c r="L88" i="36" s="1"/>
  <c r="R89" i="36"/>
  <c r="R90" i="36"/>
  <c r="R91" i="36"/>
  <c r="R92" i="36"/>
  <c r="R93" i="36"/>
  <c r="R94" i="36"/>
  <c r="R95" i="36"/>
  <c r="R96" i="36"/>
  <c r="R97" i="36"/>
  <c r="R98" i="36"/>
  <c r="N98" i="36" s="1"/>
  <c r="R99" i="36"/>
  <c r="R100" i="36"/>
  <c r="M100" i="36" s="1"/>
  <c r="R101" i="36"/>
  <c r="M101" i="36" s="1"/>
  <c r="R102" i="36"/>
  <c r="R103" i="36"/>
  <c r="R104" i="36"/>
  <c r="R105" i="36"/>
  <c r="R106" i="36"/>
  <c r="R107" i="36"/>
  <c r="R108" i="36"/>
  <c r="R109" i="36"/>
  <c r="R110" i="36"/>
  <c r="N110" i="36" s="1"/>
  <c r="R111" i="36"/>
  <c r="R112" i="36"/>
  <c r="R113" i="36"/>
  <c r="L113" i="36" s="1"/>
  <c r="R114" i="36"/>
  <c r="R115" i="36"/>
  <c r="R116" i="36"/>
  <c r="R117" i="36"/>
  <c r="R118" i="36"/>
  <c r="Q4" i="36"/>
  <c r="Q5" i="36"/>
  <c r="Q6" i="36"/>
  <c r="Q7" i="36"/>
  <c r="Q8" i="36"/>
  <c r="Q9" i="36"/>
  <c r="K9" i="36" s="1"/>
  <c r="Q10" i="36"/>
  <c r="Q11" i="36"/>
  <c r="Q12" i="36"/>
  <c r="K12" i="36" s="1"/>
  <c r="Q13" i="36"/>
  <c r="Q14" i="36"/>
  <c r="Q15" i="36"/>
  <c r="Q16" i="36"/>
  <c r="Q17" i="36"/>
  <c r="Q18" i="36"/>
  <c r="Q19" i="36"/>
  <c r="Q20" i="36"/>
  <c r="K20" i="36" s="1"/>
  <c r="Q21" i="36"/>
  <c r="Q22" i="36"/>
  <c r="Q23" i="36"/>
  <c r="Q24" i="36"/>
  <c r="K24" i="36" s="1"/>
  <c r="Q25" i="36"/>
  <c r="Q26" i="36"/>
  <c r="Q27" i="36"/>
  <c r="Q28" i="36"/>
  <c r="Q29" i="36"/>
  <c r="Q30" i="36"/>
  <c r="Q31" i="36"/>
  <c r="Q32" i="36"/>
  <c r="Q33" i="36"/>
  <c r="K33" i="36" s="1"/>
  <c r="Q34" i="36"/>
  <c r="Q35" i="36"/>
  <c r="Q36" i="36"/>
  <c r="K36" i="36" s="1"/>
  <c r="Q37" i="36"/>
  <c r="Q38" i="36"/>
  <c r="Q39" i="36"/>
  <c r="Q40" i="36"/>
  <c r="Q41" i="36"/>
  <c r="Q42" i="36"/>
  <c r="Q43" i="36"/>
  <c r="K43" i="36" s="1"/>
  <c r="Q44" i="36"/>
  <c r="Q45" i="36"/>
  <c r="Q46" i="36"/>
  <c r="Q47" i="36"/>
  <c r="Q48" i="36"/>
  <c r="Q49" i="36"/>
  <c r="Q50" i="36"/>
  <c r="Q51" i="36"/>
  <c r="Q52" i="36"/>
  <c r="Q53" i="36"/>
  <c r="Q54" i="36"/>
  <c r="Q55" i="36"/>
  <c r="Q56" i="36"/>
  <c r="K56" i="36" s="1"/>
  <c r="Q57" i="36"/>
  <c r="K57" i="36" s="1"/>
  <c r="Q58" i="36"/>
  <c r="Q59" i="36"/>
  <c r="Q60" i="36"/>
  <c r="Q61" i="36"/>
  <c r="Q62" i="36"/>
  <c r="Q63" i="36"/>
  <c r="Q64" i="36"/>
  <c r="Q65" i="36"/>
  <c r="Q66" i="36"/>
  <c r="Q67" i="36"/>
  <c r="Q68" i="36"/>
  <c r="Q69" i="36"/>
  <c r="K69" i="36" s="1"/>
  <c r="Q70" i="36"/>
  <c r="K70" i="36" s="1"/>
  <c r="Q71" i="36"/>
  <c r="Q72" i="36"/>
  <c r="Q73" i="36"/>
  <c r="Q74" i="36"/>
  <c r="Q75" i="36"/>
  <c r="Q76" i="36"/>
  <c r="Q77" i="36"/>
  <c r="Q78" i="36"/>
  <c r="Q79" i="36"/>
  <c r="Q80" i="36"/>
  <c r="K80" i="36" s="1"/>
  <c r="Q81" i="36"/>
  <c r="Q82" i="36"/>
  <c r="Q83" i="36"/>
  <c r="Q84" i="36"/>
  <c r="Q85" i="36"/>
  <c r="Q86" i="36"/>
  <c r="Q87" i="36"/>
  <c r="Q88" i="36"/>
  <c r="Q89" i="36"/>
  <c r="Q90" i="36"/>
  <c r="Q91" i="36"/>
  <c r="Q92" i="36"/>
  <c r="Q93" i="36"/>
  <c r="K93" i="36" s="1"/>
  <c r="Q94" i="36"/>
  <c r="Q95" i="36"/>
  <c r="Q96" i="36"/>
  <c r="Q97" i="36"/>
  <c r="Q98" i="36"/>
  <c r="Q99" i="36"/>
  <c r="Q100" i="36"/>
  <c r="Q101" i="36"/>
  <c r="Q102" i="36"/>
  <c r="Q103" i="36"/>
  <c r="Q104" i="36"/>
  <c r="K104" i="36" s="1"/>
  <c r="Q105" i="36"/>
  <c r="K105" i="36" s="1"/>
  <c r="Q106" i="36"/>
  <c r="Q107" i="36"/>
  <c r="Q108" i="36"/>
  <c r="Q109" i="36"/>
  <c r="Q110" i="36"/>
  <c r="Q111" i="36"/>
  <c r="Q112" i="36"/>
  <c r="Q113" i="36"/>
  <c r="Q114" i="36"/>
  <c r="Q115" i="36"/>
  <c r="Q116" i="36"/>
  <c r="Q117" i="36"/>
  <c r="Q118" i="36"/>
  <c r="P4" i="36"/>
  <c r="P5" i="36"/>
  <c r="P6" i="36"/>
  <c r="P7" i="36"/>
  <c r="P8" i="36"/>
  <c r="AB8" i="36" s="1"/>
  <c r="P9" i="36"/>
  <c r="AB9" i="36" s="1"/>
  <c r="P10" i="36"/>
  <c r="AB10" i="36" s="1"/>
  <c r="P11" i="36"/>
  <c r="AB11" i="36" s="1"/>
  <c r="P12" i="36"/>
  <c r="P13" i="36"/>
  <c r="AB13" i="36" s="1"/>
  <c r="P14" i="36"/>
  <c r="P15" i="36"/>
  <c r="P16" i="36"/>
  <c r="P17" i="36"/>
  <c r="AB17" i="36" s="1"/>
  <c r="P18" i="36"/>
  <c r="AB18" i="36" s="1"/>
  <c r="P19" i="36"/>
  <c r="AB19" i="36" s="1"/>
  <c r="P20" i="36"/>
  <c r="P21" i="36"/>
  <c r="P22" i="36"/>
  <c r="AB22" i="36" s="1"/>
  <c r="P23" i="36"/>
  <c r="AB23" i="36" s="1"/>
  <c r="P24" i="36"/>
  <c r="P25" i="36"/>
  <c r="AB25" i="36" s="1"/>
  <c r="P26" i="36"/>
  <c r="P27" i="36"/>
  <c r="P28" i="36"/>
  <c r="P29" i="36"/>
  <c r="AB29" i="36" s="1"/>
  <c r="P30" i="36"/>
  <c r="AB30" i="36" s="1"/>
  <c r="P31" i="36"/>
  <c r="AB31" i="36" s="1"/>
  <c r="P32" i="36"/>
  <c r="AB32" i="36" s="1"/>
  <c r="P33" i="36"/>
  <c r="P34" i="36"/>
  <c r="P35" i="36"/>
  <c r="P36" i="36"/>
  <c r="P37" i="36"/>
  <c r="AB37" i="36" s="1"/>
  <c r="P38" i="36"/>
  <c r="P39" i="36"/>
  <c r="P40" i="36"/>
  <c r="P41" i="36"/>
  <c r="AB41" i="36" s="1"/>
  <c r="P42" i="36"/>
  <c r="AB42" i="36" s="1"/>
  <c r="P43" i="36"/>
  <c r="AB43" i="36" s="1"/>
  <c r="P44" i="36"/>
  <c r="AB44" i="36" s="1"/>
  <c r="P45" i="36"/>
  <c r="AB45" i="36" s="1"/>
  <c r="P46" i="36"/>
  <c r="AB46" i="36" s="1"/>
  <c r="P47" i="36"/>
  <c r="P48" i="36"/>
  <c r="P49" i="36"/>
  <c r="P50" i="36"/>
  <c r="P51" i="36"/>
  <c r="P52" i="36"/>
  <c r="P53" i="36"/>
  <c r="AB53" i="36" s="1"/>
  <c r="P54" i="36"/>
  <c r="AB54" i="36" s="1"/>
  <c r="P55" i="36"/>
  <c r="AB55" i="36" s="1"/>
  <c r="P56" i="36"/>
  <c r="AB56" i="36" s="1"/>
  <c r="P57" i="36"/>
  <c r="AB57" i="36" s="1"/>
  <c r="P58" i="36"/>
  <c r="AB58" i="36" s="1"/>
  <c r="P59" i="36"/>
  <c r="AB59" i="36" s="1"/>
  <c r="P60" i="36"/>
  <c r="P61" i="36"/>
  <c r="AB61" i="36" s="1"/>
  <c r="P62" i="36"/>
  <c r="P63" i="36"/>
  <c r="P64" i="36"/>
  <c r="P65" i="36"/>
  <c r="AB65" i="36" s="1"/>
  <c r="P66" i="36"/>
  <c r="AB66" i="36" s="1"/>
  <c r="P67" i="36"/>
  <c r="AB67" i="36" s="1"/>
  <c r="P68" i="36"/>
  <c r="AB68" i="36" s="1"/>
  <c r="P69" i="36"/>
  <c r="AB69" i="36" s="1"/>
  <c r="P70" i="36"/>
  <c r="AB70" i="36" s="1"/>
  <c r="P71" i="36"/>
  <c r="AB71" i="36" s="1"/>
  <c r="P72" i="36"/>
  <c r="P73" i="36"/>
  <c r="AB73" i="36" s="1"/>
  <c r="P74" i="36"/>
  <c r="P75" i="36"/>
  <c r="P76" i="36"/>
  <c r="P77" i="36"/>
  <c r="AB77" i="36" s="1"/>
  <c r="P78" i="36"/>
  <c r="P79" i="36"/>
  <c r="AB79" i="36" s="1"/>
  <c r="P80" i="36"/>
  <c r="AB80" i="36" s="1"/>
  <c r="P81" i="36"/>
  <c r="AB81" i="36" s="1"/>
  <c r="P82" i="36"/>
  <c r="AB82" i="36" s="1"/>
  <c r="P83" i="36"/>
  <c r="AB83" i="36" s="1"/>
  <c r="P84" i="36"/>
  <c r="P85" i="36"/>
  <c r="AB85" i="36" s="1"/>
  <c r="P86" i="36"/>
  <c r="P87" i="36"/>
  <c r="P88" i="36"/>
  <c r="P89" i="36"/>
  <c r="AB89" i="36" s="1"/>
  <c r="P90" i="36"/>
  <c r="AB90" i="36" s="1"/>
  <c r="P91" i="36"/>
  <c r="AB91" i="36" s="1"/>
  <c r="P92" i="36"/>
  <c r="P93" i="36"/>
  <c r="AB93" i="36" s="1"/>
  <c r="P94" i="36"/>
  <c r="AB94" i="36" s="1"/>
  <c r="P95" i="36"/>
  <c r="AB95" i="36" s="1"/>
  <c r="P96" i="36"/>
  <c r="P97" i="36"/>
  <c r="AB97" i="36" s="1"/>
  <c r="P98" i="36"/>
  <c r="P99" i="36"/>
  <c r="P100" i="36"/>
  <c r="P101" i="36"/>
  <c r="AB101" i="36" s="1"/>
  <c r="P102" i="36"/>
  <c r="AB102" i="36" s="1"/>
  <c r="P103" i="36"/>
  <c r="AB103" i="36" s="1"/>
  <c r="P104" i="36"/>
  <c r="AB104" i="36" s="1"/>
  <c r="P105" i="36"/>
  <c r="AB105" i="36" s="1"/>
  <c r="P106" i="36"/>
  <c r="P107" i="36"/>
  <c r="P108" i="36"/>
  <c r="P109" i="36"/>
  <c r="AB109" i="36" s="1"/>
  <c r="P110" i="36"/>
  <c r="P111" i="36"/>
  <c r="P112" i="36"/>
  <c r="P113" i="36"/>
  <c r="AB113" i="36" s="1"/>
  <c r="P114" i="36"/>
  <c r="AB114" i="36" s="1"/>
  <c r="P115" i="36"/>
  <c r="AB115" i="36" s="1"/>
  <c r="P116" i="36"/>
  <c r="AB116" i="36" s="1"/>
  <c r="P117" i="36"/>
  <c r="AB117" i="36" s="1"/>
  <c r="P118" i="36"/>
  <c r="AB118" i="36" s="1"/>
  <c r="O6" i="36"/>
  <c r="O9" i="36"/>
  <c r="O11" i="36"/>
  <c r="O18" i="36"/>
  <c r="O23" i="36"/>
  <c r="O30" i="36"/>
  <c r="O32" i="36"/>
  <c r="O35" i="36"/>
  <c r="O42" i="36"/>
  <c r="O47" i="36"/>
  <c r="O54" i="36"/>
  <c r="O59" i="36"/>
  <c r="O66" i="36"/>
  <c r="O68" i="36"/>
  <c r="O70" i="36"/>
  <c r="O71" i="36"/>
  <c r="O78" i="36"/>
  <c r="O83" i="36"/>
  <c r="O90" i="36"/>
  <c r="O95" i="36"/>
  <c r="O100" i="36"/>
  <c r="O101" i="36"/>
  <c r="O102" i="36"/>
  <c r="O107" i="36"/>
  <c r="O114" i="36"/>
  <c r="N6" i="36"/>
  <c r="Y6" i="36" s="1"/>
  <c r="N8" i="36"/>
  <c r="Y8" i="36" s="1"/>
  <c r="N9" i="36"/>
  <c r="AA9" i="36" s="1"/>
  <c r="N11" i="36"/>
  <c r="N12" i="36"/>
  <c r="N13" i="36"/>
  <c r="AA13" i="36" s="1"/>
  <c r="N18" i="36"/>
  <c r="N19" i="36"/>
  <c r="Y19" i="36" s="1"/>
  <c r="N20" i="36"/>
  <c r="Y20" i="36" s="1"/>
  <c r="N21" i="36"/>
  <c r="Y21" i="36" s="1"/>
  <c r="N23" i="36"/>
  <c r="N24" i="36"/>
  <c r="N25" i="36"/>
  <c r="N30" i="36"/>
  <c r="N33" i="36"/>
  <c r="Y33" i="36" s="1"/>
  <c r="N34" i="36"/>
  <c r="AA34" i="36" s="1"/>
  <c r="N35" i="36"/>
  <c r="N36" i="36"/>
  <c r="N37" i="36"/>
  <c r="N42" i="36"/>
  <c r="N45" i="36"/>
  <c r="N47" i="36"/>
  <c r="N48" i="36"/>
  <c r="N49" i="36"/>
  <c r="N54" i="36"/>
  <c r="AA54" i="36" s="1"/>
  <c r="N57" i="36"/>
  <c r="AA57" i="36" s="1"/>
  <c r="N58" i="36"/>
  <c r="N59" i="36"/>
  <c r="N60" i="36"/>
  <c r="N61" i="36"/>
  <c r="N66" i="36"/>
  <c r="N68" i="36"/>
  <c r="N69" i="36"/>
  <c r="N71" i="36"/>
  <c r="N72" i="36"/>
  <c r="N73" i="36"/>
  <c r="N78" i="36"/>
  <c r="Y78" i="36" s="1"/>
  <c r="N81" i="36"/>
  <c r="N83" i="36"/>
  <c r="N84" i="36"/>
  <c r="N85" i="36"/>
  <c r="N90" i="36"/>
  <c r="Y90" i="36" s="1"/>
  <c r="N92" i="36"/>
  <c r="N93" i="36"/>
  <c r="N95" i="36"/>
  <c r="N97" i="36"/>
  <c r="N105" i="36"/>
  <c r="N106" i="36"/>
  <c r="N107" i="36"/>
  <c r="N108" i="36"/>
  <c r="N109" i="36"/>
  <c r="N117" i="36"/>
  <c r="AA117" i="36" s="1"/>
  <c r="M6" i="36"/>
  <c r="M7" i="36"/>
  <c r="M8" i="36"/>
  <c r="M9" i="36"/>
  <c r="M11" i="36"/>
  <c r="M12" i="36"/>
  <c r="M13" i="36"/>
  <c r="M17" i="36"/>
  <c r="M18" i="36"/>
  <c r="M20" i="36"/>
  <c r="M21" i="36"/>
  <c r="M23" i="36"/>
  <c r="M24" i="36"/>
  <c r="M25" i="36"/>
  <c r="M28" i="36"/>
  <c r="M30" i="36"/>
  <c r="M33" i="36"/>
  <c r="M34" i="36"/>
  <c r="M35" i="36"/>
  <c r="M36" i="36"/>
  <c r="M37" i="36"/>
  <c r="M41" i="36"/>
  <c r="M42" i="36"/>
  <c r="M45" i="36"/>
  <c r="M46" i="36"/>
  <c r="M47" i="36"/>
  <c r="M48" i="36"/>
  <c r="M49" i="36"/>
  <c r="M54" i="36"/>
  <c r="M57" i="36"/>
  <c r="M59" i="36"/>
  <c r="M60" i="36"/>
  <c r="M61" i="36"/>
  <c r="M66" i="36"/>
  <c r="M67" i="36"/>
  <c r="M69" i="36"/>
  <c r="M71" i="36"/>
  <c r="M72" i="36"/>
  <c r="M73" i="36"/>
  <c r="M78" i="36"/>
  <c r="M80" i="36"/>
  <c r="M81" i="36"/>
  <c r="M83" i="36"/>
  <c r="M85" i="36"/>
  <c r="M86" i="36"/>
  <c r="M89" i="36"/>
  <c r="M90" i="36"/>
  <c r="M91" i="36"/>
  <c r="M93" i="36"/>
  <c r="M95" i="36"/>
  <c r="M96" i="36"/>
  <c r="M97" i="36"/>
  <c r="M102" i="36"/>
  <c r="M104" i="36"/>
  <c r="M105" i="36"/>
  <c r="M107" i="36"/>
  <c r="M109" i="36"/>
  <c r="M113" i="36"/>
  <c r="M114" i="36"/>
  <c r="M117" i="36"/>
  <c r="M118" i="36"/>
  <c r="L6" i="36"/>
  <c r="L7" i="36"/>
  <c r="L8" i="36"/>
  <c r="L9" i="36"/>
  <c r="L10" i="36"/>
  <c r="L11" i="36"/>
  <c r="L13" i="36"/>
  <c r="L18" i="36"/>
  <c r="L19" i="36"/>
  <c r="L20" i="36"/>
  <c r="L21" i="36"/>
  <c r="L25" i="36"/>
  <c r="L28" i="36"/>
  <c r="L29" i="36"/>
  <c r="L30" i="36"/>
  <c r="L31" i="36"/>
  <c r="L32" i="36"/>
  <c r="L33" i="36"/>
  <c r="L37" i="36"/>
  <c r="L38" i="36"/>
  <c r="L40" i="36"/>
  <c r="L41" i="36"/>
  <c r="L42" i="36"/>
  <c r="L43" i="36"/>
  <c r="L44" i="36"/>
  <c r="L45" i="36"/>
  <c r="L49" i="36"/>
  <c r="L52" i="36"/>
  <c r="L53" i="36"/>
  <c r="L54" i="36"/>
  <c r="L55" i="36"/>
  <c r="L56" i="36"/>
  <c r="L57" i="36"/>
  <c r="L61" i="36"/>
  <c r="L64" i="36"/>
  <c r="L65" i="36"/>
  <c r="L66" i="36"/>
  <c r="L67" i="36"/>
  <c r="L68" i="36"/>
  <c r="L69" i="36"/>
  <c r="L73" i="36"/>
  <c r="L77" i="36"/>
  <c r="L78" i="36"/>
  <c r="L79" i="36"/>
  <c r="L80" i="36"/>
  <c r="L81" i="36"/>
  <c r="L85" i="36"/>
  <c r="L89" i="36"/>
  <c r="L90" i="36"/>
  <c r="L92" i="36"/>
  <c r="L93" i="36"/>
  <c r="L94" i="36"/>
  <c r="L95" i="36"/>
  <c r="L97" i="36"/>
  <c r="L102" i="36"/>
  <c r="L104" i="36"/>
  <c r="L105" i="36"/>
  <c r="L109" i="36"/>
  <c r="L114" i="36"/>
  <c r="L116" i="36"/>
  <c r="L117" i="36"/>
  <c r="K6" i="36"/>
  <c r="K10" i="36"/>
  <c r="K11" i="36"/>
  <c r="K17" i="36"/>
  <c r="K18" i="36"/>
  <c r="K21" i="36"/>
  <c r="K23" i="36"/>
  <c r="K30" i="36"/>
  <c r="K35" i="36"/>
  <c r="K41" i="36"/>
  <c r="K42" i="36"/>
  <c r="K45" i="36"/>
  <c r="K47" i="36"/>
  <c r="K48" i="36"/>
  <c r="K53" i="36"/>
  <c r="K54" i="36"/>
  <c r="K59" i="36"/>
  <c r="K60" i="36"/>
  <c r="K61" i="36"/>
  <c r="K62" i="36"/>
  <c r="K65" i="36"/>
  <c r="K66" i="36"/>
  <c r="K71" i="36"/>
  <c r="K72" i="36"/>
  <c r="K73" i="36"/>
  <c r="K78" i="36"/>
  <c r="K81" i="36"/>
  <c r="K83" i="36"/>
  <c r="K84" i="36"/>
  <c r="K90" i="36"/>
  <c r="K95" i="36"/>
  <c r="K96" i="36"/>
  <c r="K97" i="36"/>
  <c r="K107" i="36"/>
  <c r="K109" i="36"/>
  <c r="K116" i="36"/>
  <c r="K117" i="36"/>
  <c r="J4" i="36"/>
  <c r="J5" i="36"/>
  <c r="J6" i="36"/>
  <c r="J7" i="36"/>
  <c r="J8" i="36"/>
  <c r="J9" i="36"/>
  <c r="J10" i="36"/>
  <c r="J11" i="36"/>
  <c r="J12" i="36"/>
  <c r="J13" i="36"/>
  <c r="J14" i="36"/>
  <c r="J15" i="36"/>
  <c r="J16" i="36"/>
  <c r="J17" i="36"/>
  <c r="J18" i="36"/>
  <c r="J19" i="36"/>
  <c r="J20" i="36"/>
  <c r="J21" i="36"/>
  <c r="J22" i="36"/>
  <c r="J23" i="36"/>
  <c r="J24" i="36"/>
  <c r="J25" i="36"/>
  <c r="J26" i="36"/>
  <c r="J27" i="36"/>
  <c r="J28" i="36"/>
  <c r="J29" i="36"/>
  <c r="J30" i="36"/>
  <c r="J31" i="36"/>
  <c r="J32" i="36"/>
  <c r="J33" i="36"/>
  <c r="J34" i="36"/>
  <c r="J35" i="36"/>
  <c r="J36" i="36"/>
  <c r="J37" i="36"/>
  <c r="J38" i="36"/>
  <c r="J39" i="36"/>
  <c r="J40" i="36"/>
  <c r="J41" i="36"/>
  <c r="J42" i="36"/>
  <c r="J43" i="36"/>
  <c r="J44" i="36"/>
  <c r="J45" i="36"/>
  <c r="J46" i="36"/>
  <c r="J47" i="36"/>
  <c r="J48" i="36"/>
  <c r="J49" i="36"/>
  <c r="J50" i="36"/>
  <c r="J51" i="36"/>
  <c r="J52" i="36"/>
  <c r="J53" i="36"/>
  <c r="J54" i="36"/>
  <c r="J55" i="36"/>
  <c r="J56" i="36"/>
  <c r="J57" i="36"/>
  <c r="J58" i="36"/>
  <c r="J59" i="36"/>
  <c r="J60" i="36"/>
  <c r="J61" i="36"/>
  <c r="J62" i="36"/>
  <c r="J63" i="36"/>
  <c r="J64" i="36"/>
  <c r="J65" i="36"/>
  <c r="J66" i="36"/>
  <c r="J67" i="36"/>
  <c r="J68" i="36"/>
  <c r="J69" i="36"/>
  <c r="J70" i="36"/>
  <c r="J71" i="36"/>
  <c r="J72" i="36"/>
  <c r="J73" i="36"/>
  <c r="J74" i="36"/>
  <c r="J75" i="36"/>
  <c r="J76" i="36"/>
  <c r="J77" i="36"/>
  <c r="J78" i="36"/>
  <c r="J79" i="36"/>
  <c r="J80" i="36"/>
  <c r="J81" i="36"/>
  <c r="J82" i="36"/>
  <c r="J83" i="36"/>
  <c r="J84" i="36"/>
  <c r="J85" i="36"/>
  <c r="J86" i="36"/>
  <c r="J87" i="36"/>
  <c r="J88" i="36"/>
  <c r="J89" i="36"/>
  <c r="J90" i="36"/>
  <c r="J91" i="36"/>
  <c r="J92" i="36"/>
  <c r="J93" i="36"/>
  <c r="J94" i="36"/>
  <c r="J95" i="36"/>
  <c r="J96" i="36"/>
  <c r="J97" i="36"/>
  <c r="J98" i="36"/>
  <c r="J99" i="36"/>
  <c r="J100" i="36"/>
  <c r="J101" i="36"/>
  <c r="J102" i="36"/>
  <c r="J103" i="36"/>
  <c r="J104" i="36"/>
  <c r="J105" i="36"/>
  <c r="J106" i="36"/>
  <c r="J107" i="36"/>
  <c r="J108" i="36"/>
  <c r="J109" i="36"/>
  <c r="J110" i="36"/>
  <c r="J111" i="36"/>
  <c r="J112" i="36"/>
  <c r="J113" i="36"/>
  <c r="J114" i="36"/>
  <c r="J115" i="36"/>
  <c r="J116" i="36"/>
  <c r="J117" i="36"/>
  <c r="J118" i="36"/>
  <c r="I4" i="36"/>
  <c r="I5" i="36"/>
  <c r="I6" i="36"/>
  <c r="I7" i="36"/>
  <c r="I8" i="36"/>
  <c r="I9" i="36"/>
  <c r="I10" i="36"/>
  <c r="I11" i="36"/>
  <c r="I12" i="36"/>
  <c r="I13" i="36"/>
  <c r="I14" i="36"/>
  <c r="I15" i="36"/>
  <c r="I16" i="36"/>
  <c r="I17" i="36"/>
  <c r="I18" i="36"/>
  <c r="I19" i="36"/>
  <c r="I20" i="36"/>
  <c r="I21" i="36"/>
  <c r="I22" i="36"/>
  <c r="I23" i="36"/>
  <c r="I24" i="36"/>
  <c r="I25" i="36"/>
  <c r="I26" i="36"/>
  <c r="I27" i="36"/>
  <c r="I28" i="36"/>
  <c r="I29" i="36"/>
  <c r="I30" i="36"/>
  <c r="I31" i="36"/>
  <c r="I32" i="36"/>
  <c r="I33" i="36"/>
  <c r="I34" i="36"/>
  <c r="I35" i="36"/>
  <c r="I36" i="36"/>
  <c r="I37" i="36"/>
  <c r="I38" i="36"/>
  <c r="I39" i="36"/>
  <c r="I40" i="36"/>
  <c r="I41" i="36"/>
  <c r="I42" i="36"/>
  <c r="I43" i="36"/>
  <c r="I44" i="36"/>
  <c r="I45" i="36"/>
  <c r="I46" i="36"/>
  <c r="I47" i="36"/>
  <c r="I48" i="36"/>
  <c r="I49" i="36"/>
  <c r="I50" i="36"/>
  <c r="I51" i="36"/>
  <c r="I52" i="36"/>
  <c r="I53" i="36"/>
  <c r="I54" i="36"/>
  <c r="I55" i="36"/>
  <c r="I56" i="36"/>
  <c r="I57" i="36"/>
  <c r="I58" i="36"/>
  <c r="I59" i="36"/>
  <c r="I60" i="36"/>
  <c r="I61" i="36"/>
  <c r="I62" i="36"/>
  <c r="I63" i="36"/>
  <c r="I64" i="36"/>
  <c r="I65" i="36"/>
  <c r="I66" i="36"/>
  <c r="I67" i="36"/>
  <c r="I68" i="36"/>
  <c r="I69" i="36"/>
  <c r="I70" i="36"/>
  <c r="I71" i="36"/>
  <c r="I72" i="36"/>
  <c r="I73" i="36"/>
  <c r="I74" i="36"/>
  <c r="I75" i="36"/>
  <c r="I76" i="36"/>
  <c r="I77" i="36"/>
  <c r="I78" i="36"/>
  <c r="I79" i="36"/>
  <c r="I80" i="36"/>
  <c r="I81" i="36"/>
  <c r="I82" i="36"/>
  <c r="I83" i="36"/>
  <c r="I84" i="36"/>
  <c r="I85" i="36"/>
  <c r="I86" i="36"/>
  <c r="I87" i="36"/>
  <c r="I88" i="36"/>
  <c r="I89" i="36"/>
  <c r="I90" i="36"/>
  <c r="I91" i="36"/>
  <c r="I92" i="36"/>
  <c r="I93" i="36"/>
  <c r="I94" i="36"/>
  <c r="I95" i="36"/>
  <c r="I96" i="36"/>
  <c r="I97" i="36"/>
  <c r="I98" i="36"/>
  <c r="I99" i="36"/>
  <c r="I100" i="36"/>
  <c r="I101" i="36"/>
  <c r="I102" i="36"/>
  <c r="I103" i="36"/>
  <c r="I104" i="36"/>
  <c r="I105" i="36"/>
  <c r="I106" i="36"/>
  <c r="I107" i="36"/>
  <c r="I108" i="36"/>
  <c r="I109" i="36"/>
  <c r="I110" i="36"/>
  <c r="I111" i="36"/>
  <c r="I112" i="36"/>
  <c r="I113" i="36"/>
  <c r="I114" i="36"/>
  <c r="I115" i="36"/>
  <c r="I116" i="36"/>
  <c r="I117" i="36"/>
  <c r="I118" i="36"/>
  <c r="H4" i="36"/>
  <c r="H5" i="36"/>
  <c r="H6" i="36"/>
  <c r="H7" i="36"/>
  <c r="H8" i="36"/>
  <c r="H9" i="36"/>
  <c r="H10" i="36"/>
  <c r="H11" i="36"/>
  <c r="H12" i="36"/>
  <c r="H13" i="36"/>
  <c r="H14" i="36"/>
  <c r="H15" i="36"/>
  <c r="H16" i="36"/>
  <c r="H17" i="36"/>
  <c r="H18" i="36"/>
  <c r="H19" i="36"/>
  <c r="H20" i="36"/>
  <c r="H21" i="36"/>
  <c r="H22" i="36"/>
  <c r="H23" i="36"/>
  <c r="H24" i="36"/>
  <c r="H25" i="36"/>
  <c r="H26" i="36"/>
  <c r="H27" i="36"/>
  <c r="H28" i="36"/>
  <c r="H29" i="36"/>
  <c r="H30" i="36"/>
  <c r="H31" i="36"/>
  <c r="H32" i="36"/>
  <c r="H33" i="36"/>
  <c r="H34" i="36"/>
  <c r="H35" i="36"/>
  <c r="H36" i="36"/>
  <c r="H37" i="36"/>
  <c r="H38" i="36"/>
  <c r="H39" i="36"/>
  <c r="H40" i="36"/>
  <c r="H41" i="36"/>
  <c r="H42" i="36"/>
  <c r="H43" i="36"/>
  <c r="H44" i="36"/>
  <c r="H45" i="36"/>
  <c r="H46" i="36"/>
  <c r="H47" i="36"/>
  <c r="H48" i="36"/>
  <c r="H49" i="36"/>
  <c r="H50" i="36"/>
  <c r="H51" i="36"/>
  <c r="H52" i="36"/>
  <c r="H53" i="36"/>
  <c r="H54" i="36"/>
  <c r="H55" i="36"/>
  <c r="H56" i="36"/>
  <c r="H57" i="36"/>
  <c r="H58" i="36"/>
  <c r="H59" i="36"/>
  <c r="H60" i="36"/>
  <c r="H61" i="36"/>
  <c r="H62" i="36"/>
  <c r="H63" i="36"/>
  <c r="H64" i="36"/>
  <c r="H65" i="36"/>
  <c r="H66" i="36"/>
  <c r="H67" i="36"/>
  <c r="H68" i="36"/>
  <c r="H69" i="36"/>
  <c r="H70" i="36"/>
  <c r="H71" i="36"/>
  <c r="H72" i="36"/>
  <c r="H73" i="36"/>
  <c r="H74" i="36"/>
  <c r="H75" i="36"/>
  <c r="H76" i="36"/>
  <c r="H77" i="36"/>
  <c r="H78" i="36"/>
  <c r="H79" i="36"/>
  <c r="H80" i="36"/>
  <c r="H81" i="36"/>
  <c r="H82" i="36"/>
  <c r="H83" i="36"/>
  <c r="H84" i="36"/>
  <c r="H85" i="36"/>
  <c r="H86" i="36"/>
  <c r="H87" i="36"/>
  <c r="H88" i="36"/>
  <c r="H89" i="36"/>
  <c r="H90" i="36"/>
  <c r="H91" i="36"/>
  <c r="H92" i="36"/>
  <c r="H93" i="36"/>
  <c r="H94" i="36"/>
  <c r="H95" i="36"/>
  <c r="H96" i="36"/>
  <c r="H97" i="36"/>
  <c r="H98" i="36"/>
  <c r="H99" i="36"/>
  <c r="H100" i="36"/>
  <c r="H101" i="36"/>
  <c r="H102" i="36"/>
  <c r="H103" i="36"/>
  <c r="H104" i="36"/>
  <c r="H105" i="36"/>
  <c r="H106" i="36"/>
  <c r="H107" i="36"/>
  <c r="H108" i="36"/>
  <c r="H109" i="36"/>
  <c r="H110" i="36"/>
  <c r="H111" i="36"/>
  <c r="H112" i="36"/>
  <c r="H113" i="36"/>
  <c r="H114" i="36"/>
  <c r="H115" i="36"/>
  <c r="H116" i="36"/>
  <c r="H117" i="36"/>
  <c r="H118" i="36"/>
  <c r="G4" i="36"/>
  <c r="G5" i="36"/>
  <c r="G6" i="36"/>
  <c r="G7" i="36"/>
  <c r="G8" i="36"/>
  <c r="G9" i="36"/>
  <c r="G10" i="36"/>
  <c r="G11" i="36"/>
  <c r="G12" i="36"/>
  <c r="G13" i="36"/>
  <c r="G14" i="36"/>
  <c r="G15" i="36"/>
  <c r="G16" i="36"/>
  <c r="G17" i="36"/>
  <c r="G18" i="36"/>
  <c r="G19" i="36"/>
  <c r="G20" i="36"/>
  <c r="G21" i="36"/>
  <c r="G22" i="36"/>
  <c r="G23" i="36"/>
  <c r="G24" i="36"/>
  <c r="G25" i="36"/>
  <c r="G26" i="36"/>
  <c r="G27" i="36"/>
  <c r="G28" i="36"/>
  <c r="G29" i="36"/>
  <c r="G30" i="36"/>
  <c r="G31" i="36"/>
  <c r="G32" i="36"/>
  <c r="G33" i="36"/>
  <c r="G34" i="36"/>
  <c r="G35" i="36"/>
  <c r="G36" i="36"/>
  <c r="G37" i="36"/>
  <c r="G38" i="36"/>
  <c r="G39" i="36"/>
  <c r="G40" i="36"/>
  <c r="G41" i="36"/>
  <c r="G42" i="36"/>
  <c r="G43" i="36"/>
  <c r="G44" i="36"/>
  <c r="G45" i="36"/>
  <c r="G46" i="36"/>
  <c r="G47" i="36"/>
  <c r="G48" i="36"/>
  <c r="G49" i="36"/>
  <c r="G50" i="36"/>
  <c r="G51" i="36"/>
  <c r="G52" i="36"/>
  <c r="G53" i="36"/>
  <c r="G54" i="36"/>
  <c r="G55" i="36"/>
  <c r="G56" i="36"/>
  <c r="G57" i="36"/>
  <c r="G58" i="36"/>
  <c r="G59" i="36"/>
  <c r="G60" i="36"/>
  <c r="G61" i="36"/>
  <c r="G62" i="36"/>
  <c r="G63" i="36"/>
  <c r="G64" i="36"/>
  <c r="G65" i="36"/>
  <c r="G66" i="36"/>
  <c r="G67" i="36"/>
  <c r="G68" i="36"/>
  <c r="G69" i="36"/>
  <c r="G70" i="36"/>
  <c r="G71" i="36"/>
  <c r="G72" i="36"/>
  <c r="G73" i="36"/>
  <c r="G74" i="36"/>
  <c r="G75" i="36"/>
  <c r="G76" i="36"/>
  <c r="G77" i="36"/>
  <c r="G78" i="36"/>
  <c r="G79" i="36"/>
  <c r="G80" i="36"/>
  <c r="G81" i="36"/>
  <c r="G82" i="36"/>
  <c r="G83" i="36"/>
  <c r="G84" i="36"/>
  <c r="G85" i="36"/>
  <c r="G86" i="36"/>
  <c r="G87" i="36"/>
  <c r="G88" i="36"/>
  <c r="G89" i="36"/>
  <c r="G90" i="36"/>
  <c r="G91" i="36"/>
  <c r="G92" i="36"/>
  <c r="G93" i="36"/>
  <c r="G94" i="36"/>
  <c r="G95" i="36"/>
  <c r="G96" i="36"/>
  <c r="G97" i="36"/>
  <c r="G98" i="36"/>
  <c r="G99" i="36"/>
  <c r="G100" i="36"/>
  <c r="G101" i="36"/>
  <c r="G102" i="36"/>
  <c r="G103" i="36"/>
  <c r="G104" i="36"/>
  <c r="G105" i="36"/>
  <c r="G106" i="36"/>
  <c r="G107" i="36"/>
  <c r="G108" i="36"/>
  <c r="G109" i="36"/>
  <c r="G110" i="36"/>
  <c r="G111" i="36"/>
  <c r="G112" i="36"/>
  <c r="G113" i="36"/>
  <c r="G114" i="36"/>
  <c r="G115" i="36"/>
  <c r="G116" i="36"/>
  <c r="G117" i="36"/>
  <c r="G118" i="36"/>
  <c r="F4" i="36"/>
  <c r="F5" i="36"/>
  <c r="F6" i="36"/>
  <c r="F7" i="36"/>
  <c r="F8" i="36"/>
  <c r="F9" i="36"/>
  <c r="F10" i="36"/>
  <c r="F11" i="36"/>
  <c r="F12" i="36"/>
  <c r="F13" i="36"/>
  <c r="F14" i="36"/>
  <c r="F15" i="36"/>
  <c r="F16" i="36"/>
  <c r="F17" i="36"/>
  <c r="F18" i="36"/>
  <c r="F19" i="36"/>
  <c r="F20" i="36"/>
  <c r="F21" i="36"/>
  <c r="F22" i="36"/>
  <c r="F23" i="36"/>
  <c r="F24" i="36"/>
  <c r="F25" i="36"/>
  <c r="F26" i="36"/>
  <c r="F27" i="36"/>
  <c r="F28" i="36"/>
  <c r="F29" i="36"/>
  <c r="F30" i="36"/>
  <c r="F31" i="36"/>
  <c r="F32" i="36"/>
  <c r="F33" i="36"/>
  <c r="F34" i="36"/>
  <c r="F35" i="36"/>
  <c r="F36" i="36"/>
  <c r="F37" i="36"/>
  <c r="F38" i="36"/>
  <c r="F39" i="36"/>
  <c r="F40" i="36"/>
  <c r="F41" i="36"/>
  <c r="F42" i="36"/>
  <c r="F43" i="36"/>
  <c r="F44" i="36"/>
  <c r="F45" i="36"/>
  <c r="F46" i="36"/>
  <c r="F47" i="36"/>
  <c r="F48" i="36"/>
  <c r="F49" i="36"/>
  <c r="F50" i="36"/>
  <c r="F51" i="36"/>
  <c r="F52" i="36"/>
  <c r="F53" i="36"/>
  <c r="F54" i="36"/>
  <c r="F55" i="36"/>
  <c r="F56" i="36"/>
  <c r="F57" i="36"/>
  <c r="F58" i="36"/>
  <c r="F59" i="36"/>
  <c r="F60" i="36"/>
  <c r="F61" i="36"/>
  <c r="F62" i="36"/>
  <c r="F63" i="36"/>
  <c r="F64" i="36"/>
  <c r="F65" i="36"/>
  <c r="F66" i="36"/>
  <c r="F67" i="36"/>
  <c r="F68" i="36"/>
  <c r="F69" i="36"/>
  <c r="F70" i="36"/>
  <c r="F71" i="36"/>
  <c r="F72" i="36"/>
  <c r="F73" i="36"/>
  <c r="F74" i="36"/>
  <c r="F75" i="36"/>
  <c r="F76" i="36"/>
  <c r="F77" i="36"/>
  <c r="F78" i="36"/>
  <c r="F79" i="36"/>
  <c r="F80" i="36"/>
  <c r="F81" i="36"/>
  <c r="F82" i="36"/>
  <c r="F83" i="36"/>
  <c r="F84" i="36"/>
  <c r="F85" i="36"/>
  <c r="F86" i="36"/>
  <c r="F87" i="36"/>
  <c r="F88" i="36"/>
  <c r="F89" i="36"/>
  <c r="F90" i="36"/>
  <c r="F91" i="36"/>
  <c r="F92" i="36"/>
  <c r="F93" i="36"/>
  <c r="F94" i="36"/>
  <c r="F95" i="36"/>
  <c r="F96" i="36"/>
  <c r="F97" i="36"/>
  <c r="F98" i="36"/>
  <c r="F99" i="36"/>
  <c r="F100" i="36"/>
  <c r="F101" i="36"/>
  <c r="F102" i="36"/>
  <c r="F103" i="36"/>
  <c r="F104" i="36"/>
  <c r="F105" i="36"/>
  <c r="F106" i="36"/>
  <c r="F107" i="36"/>
  <c r="F108" i="36"/>
  <c r="F109" i="36"/>
  <c r="F110" i="36"/>
  <c r="F111" i="36"/>
  <c r="F112" i="36"/>
  <c r="F113" i="36"/>
  <c r="F114" i="36"/>
  <c r="F115" i="36"/>
  <c r="F116" i="36"/>
  <c r="F117" i="36"/>
  <c r="F118" i="36"/>
  <c r="E4" i="36"/>
  <c r="E5" i="36"/>
  <c r="E6" i="36"/>
  <c r="E7" i="36"/>
  <c r="E8" i="36"/>
  <c r="E9" i="36"/>
  <c r="E10" i="36"/>
  <c r="E11" i="36"/>
  <c r="E12" i="36"/>
  <c r="E13" i="36"/>
  <c r="E14" i="36"/>
  <c r="E15" i="36"/>
  <c r="E16" i="36"/>
  <c r="E17" i="36"/>
  <c r="E18" i="36"/>
  <c r="E19" i="36"/>
  <c r="E20" i="36"/>
  <c r="E21" i="36"/>
  <c r="E22" i="36"/>
  <c r="E23" i="36"/>
  <c r="E24" i="36"/>
  <c r="E25" i="36"/>
  <c r="E26" i="36"/>
  <c r="E27" i="36"/>
  <c r="E28" i="36"/>
  <c r="E29" i="36"/>
  <c r="E30" i="36"/>
  <c r="E31" i="36"/>
  <c r="E32" i="36"/>
  <c r="E33" i="36"/>
  <c r="E34" i="36"/>
  <c r="E35" i="36"/>
  <c r="E36" i="36"/>
  <c r="E37" i="36"/>
  <c r="E38" i="36"/>
  <c r="E39" i="36"/>
  <c r="E40" i="36"/>
  <c r="E41" i="36"/>
  <c r="E42" i="36"/>
  <c r="E43" i="36"/>
  <c r="E44" i="36"/>
  <c r="E45" i="36"/>
  <c r="E46" i="36"/>
  <c r="E47" i="36"/>
  <c r="E48" i="36"/>
  <c r="E49" i="36"/>
  <c r="E50" i="36"/>
  <c r="E51" i="36"/>
  <c r="E52" i="36"/>
  <c r="E53" i="36"/>
  <c r="E54" i="36"/>
  <c r="E55" i="36"/>
  <c r="E56" i="36"/>
  <c r="E57" i="36"/>
  <c r="E58" i="36"/>
  <c r="E59" i="36"/>
  <c r="E60" i="36"/>
  <c r="E61" i="36"/>
  <c r="E62" i="36"/>
  <c r="E63" i="36"/>
  <c r="E64" i="36"/>
  <c r="E65" i="36"/>
  <c r="E66" i="36"/>
  <c r="E67" i="36"/>
  <c r="E68" i="36"/>
  <c r="E69" i="36"/>
  <c r="E70" i="36"/>
  <c r="E71" i="36"/>
  <c r="E72" i="36"/>
  <c r="E73" i="36"/>
  <c r="E74" i="36"/>
  <c r="E75" i="36"/>
  <c r="E76" i="36"/>
  <c r="E77" i="36"/>
  <c r="E78" i="36"/>
  <c r="E79" i="36"/>
  <c r="E80" i="36"/>
  <c r="E81" i="36"/>
  <c r="E82" i="36"/>
  <c r="E83" i="36"/>
  <c r="E84" i="36"/>
  <c r="E85" i="36"/>
  <c r="E86" i="36"/>
  <c r="E87" i="36"/>
  <c r="E88" i="36"/>
  <c r="E89" i="36"/>
  <c r="E90" i="36"/>
  <c r="E91" i="36"/>
  <c r="E92" i="36"/>
  <c r="E93" i="36"/>
  <c r="E94" i="36"/>
  <c r="E95" i="36"/>
  <c r="E96" i="36"/>
  <c r="E97" i="36"/>
  <c r="E98" i="36"/>
  <c r="E99" i="36"/>
  <c r="E100" i="36"/>
  <c r="E101" i="36"/>
  <c r="E102" i="36"/>
  <c r="E103" i="36"/>
  <c r="E104" i="36"/>
  <c r="E105" i="36"/>
  <c r="E106" i="36"/>
  <c r="E107" i="36"/>
  <c r="E108" i="36"/>
  <c r="E109" i="36"/>
  <c r="E110" i="36"/>
  <c r="E111" i="36"/>
  <c r="E112" i="36"/>
  <c r="E113" i="36"/>
  <c r="E114" i="36"/>
  <c r="E115" i="36"/>
  <c r="E116" i="36"/>
  <c r="E117" i="36"/>
  <c r="E118" i="36"/>
  <c r="A4" i="36"/>
  <c r="A5" i="36"/>
  <c r="A6" i="36"/>
  <c r="A7" i="36"/>
  <c r="A8" i="36"/>
  <c r="A9" i="36"/>
  <c r="A10" i="36"/>
  <c r="A11" i="36"/>
  <c r="A12" i="36"/>
  <c r="A13" i="36"/>
  <c r="A14" i="36"/>
  <c r="A15" i="36"/>
  <c r="A16" i="36"/>
  <c r="A17" i="36"/>
  <c r="A18" i="36"/>
  <c r="A19" i="36"/>
  <c r="A20" i="36"/>
  <c r="A21" i="36"/>
  <c r="A22" i="36"/>
  <c r="A23" i="36"/>
  <c r="A24" i="36"/>
  <c r="A25" i="36"/>
  <c r="A26" i="36"/>
  <c r="A27" i="36"/>
  <c r="A28" i="36"/>
  <c r="A29" i="36"/>
  <c r="A30" i="36"/>
  <c r="A31" i="36"/>
  <c r="A32" i="36"/>
  <c r="A33" i="36"/>
  <c r="A34" i="36"/>
  <c r="A35" i="36"/>
  <c r="A36" i="36"/>
  <c r="A37" i="36"/>
  <c r="A38" i="36"/>
  <c r="A39" i="36"/>
  <c r="A40" i="36"/>
  <c r="A41" i="36"/>
  <c r="A42" i="36"/>
  <c r="A43" i="36"/>
  <c r="A44" i="36"/>
  <c r="A45" i="36"/>
  <c r="A46" i="36"/>
  <c r="A47" i="36"/>
  <c r="A48" i="36"/>
  <c r="A49" i="36"/>
  <c r="A50" i="36"/>
  <c r="A51" i="36"/>
  <c r="A52" i="36"/>
  <c r="A53" i="36"/>
  <c r="A54" i="36"/>
  <c r="A55" i="36"/>
  <c r="A56" i="36"/>
  <c r="A57" i="36"/>
  <c r="A58" i="36"/>
  <c r="A59" i="36"/>
  <c r="A60" i="36"/>
  <c r="A61" i="36"/>
  <c r="A62" i="36"/>
  <c r="A63" i="36"/>
  <c r="A64" i="36"/>
  <c r="A65" i="36"/>
  <c r="A66" i="36"/>
  <c r="A67" i="36"/>
  <c r="A68" i="36"/>
  <c r="A69" i="36"/>
  <c r="A70" i="36"/>
  <c r="A71" i="36"/>
  <c r="A72" i="36"/>
  <c r="A73" i="36"/>
  <c r="A74" i="36"/>
  <c r="A75" i="36"/>
  <c r="A76" i="36"/>
  <c r="A77" i="36"/>
  <c r="A78" i="36"/>
  <c r="A79" i="36"/>
  <c r="A80" i="36"/>
  <c r="A81" i="36"/>
  <c r="A82" i="36"/>
  <c r="A83" i="36"/>
  <c r="A84" i="36"/>
  <c r="A85" i="36"/>
  <c r="A86" i="36"/>
  <c r="A87" i="36"/>
  <c r="A88" i="36"/>
  <c r="A89" i="36"/>
  <c r="A90" i="36"/>
  <c r="A91" i="36"/>
  <c r="A92" i="36"/>
  <c r="A93" i="36"/>
  <c r="A94" i="36"/>
  <c r="A95" i="36"/>
  <c r="A96" i="36"/>
  <c r="A97" i="36"/>
  <c r="A98" i="36"/>
  <c r="A99" i="36"/>
  <c r="A100" i="36"/>
  <c r="A101" i="36"/>
  <c r="A102" i="36"/>
  <c r="A103" i="36"/>
  <c r="A104" i="36"/>
  <c r="A105" i="36"/>
  <c r="A106" i="36"/>
  <c r="A107" i="36"/>
  <c r="A108" i="36"/>
  <c r="A109" i="36"/>
  <c r="A110" i="36"/>
  <c r="A111" i="36"/>
  <c r="A112" i="36"/>
  <c r="A113" i="36"/>
  <c r="A114" i="36"/>
  <c r="A115" i="36"/>
  <c r="A116" i="36"/>
  <c r="A117" i="36"/>
  <c r="A118" i="36"/>
  <c r="A2" i="36"/>
  <c r="R2" i="36"/>
  <c r="Q2" i="36"/>
  <c r="P2" i="36"/>
  <c r="J2" i="36"/>
  <c r="I2" i="36"/>
  <c r="H2" i="36"/>
  <c r="G2" i="36"/>
  <c r="F2" i="36"/>
  <c r="E2" i="36"/>
  <c r="X52" i="36" l="1"/>
  <c r="O52" i="36"/>
  <c r="L98" i="36"/>
  <c r="M110" i="36"/>
  <c r="M50" i="36"/>
  <c r="M14" i="36"/>
  <c r="Y83" i="36"/>
  <c r="AA59" i="36"/>
  <c r="AA18" i="36"/>
  <c r="M112" i="36"/>
  <c r="K100" i="36"/>
  <c r="M88" i="36"/>
  <c r="M76" i="36"/>
  <c r="K64" i="36"/>
  <c r="K40" i="36"/>
  <c r="M16" i="36"/>
  <c r="M4" i="36"/>
  <c r="AA6" i="36"/>
  <c r="L26" i="36"/>
  <c r="AA107" i="36"/>
  <c r="AA35" i="36"/>
  <c r="Y35" i="36"/>
  <c r="N14" i="36"/>
  <c r="X76" i="36"/>
  <c r="AA30" i="36"/>
  <c r="Y30" i="36"/>
  <c r="Z86" i="36"/>
  <c r="Y95" i="36"/>
  <c r="AA95" i="36"/>
  <c r="Y71" i="36"/>
  <c r="N26" i="36"/>
  <c r="AA71" i="36"/>
  <c r="X4" i="36"/>
  <c r="O4" i="36"/>
  <c r="AA11" i="36"/>
  <c r="L74" i="36"/>
  <c r="M98" i="36"/>
  <c r="AA93" i="36"/>
  <c r="Y93" i="36"/>
  <c r="Y25" i="36"/>
  <c r="X100" i="36"/>
  <c r="Z110" i="36"/>
  <c r="Z38" i="36"/>
  <c r="Y47" i="36"/>
  <c r="Y11" i="36"/>
  <c r="AA47" i="36"/>
  <c r="X88" i="36"/>
  <c r="L62" i="36"/>
  <c r="Z98" i="36"/>
  <c r="Z26" i="36"/>
  <c r="M38" i="36"/>
  <c r="M5" i="36"/>
  <c r="AA66" i="36"/>
  <c r="Y45" i="36"/>
  <c r="AA45" i="36"/>
  <c r="Y23" i="36"/>
  <c r="O88" i="36"/>
  <c r="L50" i="36"/>
  <c r="AA105" i="36"/>
  <c r="Y105" i="36"/>
  <c r="X28" i="36"/>
  <c r="Z62" i="36"/>
  <c r="Z14" i="36"/>
  <c r="L86" i="36"/>
  <c r="M74" i="36"/>
  <c r="N62" i="36"/>
  <c r="AA42" i="36"/>
  <c r="Y9" i="36"/>
  <c r="AA23" i="36"/>
  <c r="X64" i="36"/>
  <c r="Z74" i="36"/>
  <c r="AA78" i="36"/>
  <c r="L101" i="36"/>
  <c r="AB112" i="36"/>
  <c r="AB100" i="36"/>
  <c r="AB88" i="36"/>
  <c r="AB76" i="36"/>
  <c r="AB52" i="36"/>
  <c r="AB40" i="36"/>
  <c r="AB28" i="36"/>
  <c r="AB16" i="36"/>
  <c r="AB4" i="36"/>
  <c r="O112" i="36"/>
  <c r="X112" i="36"/>
  <c r="X16" i="36"/>
  <c r="L100" i="36"/>
  <c r="AA60" i="36"/>
  <c r="O16" i="36"/>
  <c r="AB111" i="36"/>
  <c r="AB99" i="36"/>
  <c r="AB87" i="36"/>
  <c r="AB75" i="36"/>
  <c r="AB39" i="36"/>
  <c r="AB27" i="36"/>
  <c r="AB15" i="36"/>
  <c r="N29" i="36"/>
  <c r="AA29" i="36" s="1"/>
  <c r="M29" i="36"/>
  <c r="N17" i="36"/>
  <c r="L17" i="36"/>
  <c r="N5" i="36"/>
  <c r="L5" i="36"/>
  <c r="AA21" i="36"/>
  <c r="K91" i="36"/>
  <c r="Y18" i="36"/>
  <c r="L110" i="36"/>
  <c r="Z118" i="36"/>
  <c r="Z106" i="36"/>
  <c r="Z94" i="36"/>
  <c r="Z82" i="36"/>
  <c r="Z70" i="36"/>
  <c r="Z58" i="36"/>
  <c r="Z46" i="36"/>
  <c r="Z34" i="36"/>
  <c r="Z22" i="36"/>
  <c r="Z10" i="36"/>
  <c r="T110" i="36"/>
  <c r="T86" i="36"/>
  <c r="T62" i="36"/>
  <c r="T38" i="36"/>
  <c r="T14" i="36"/>
  <c r="K114" i="36"/>
  <c r="K102" i="36"/>
  <c r="Y34" i="36"/>
  <c r="AA83" i="36"/>
  <c r="Z111" i="36"/>
  <c r="Z99" i="36"/>
  <c r="Z87" i="36"/>
  <c r="Z75" i="36"/>
  <c r="Z63" i="36"/>
  <c r="Z51" i="36"/>
  <c r="Z39" i="36"/>
  <c r="Z27" i="36"/>
  <c r="Z15" i="36"/>
  <c r="AA69" i="36"/>
  <c r="Y49" i="36"/>
  <c r="Y13" i="36"/>
  <c r="T97" i="36"/>
  <c r="T85" i="36"/>
  <c r="T61" i="36"/>
  <c r="T49" i="36"/>
  <c r="T13" i="36"/>
  <c r="AA19" i="36"/>
  <c r="Y81" i="36"/>
  <c r="Y69" i="36"/>
  <c r="Y117" i="36"/>
  <c r="M108" i="36"/>
  <c r="N96" i="36"/>
  <c r="M84" i="36"/>
  <c r="AA106" i="36"/>
  <c r="AA94" i="36"/>
  <c r="AA82" i="36"/>
  <c r="AA70" i="36"/>
  <c r="AA58" i="36"/>
  <c r="X108" i="36"/>
  <c r="X96" i="36"/>
  <c r="X84" i="36"/>
  <c r="X60" i="36"/>
  <c r="X48" i="36"/>
  <c r="X36" i="36"/>
  <c r="X12" i="36"/>
  <c r="AB108" i="36"/>
  <c r="AB96" i="36"/>
  <c r="AB84" i="36"/>
  <c r="AB72" i="36"/>
  <c r="AB60" i="36"/>
  <c r="AB48" i="36"/>
  <c r="AB36" i="36"/>
  <c r="AB24" i="36"/>
  <c r="AB12" i="36"/>
  <c r="Y108" i="36"/>
  <c r="AA96" i="36"/>
  <c r="Y84" i="36"/>
  <c r="AA72" i="36"/>
  <c r="Y60" i="36"/>
  <c r="AA48" i="36"/>
  <c r="Y36" i="36"/>
  <c r="AA24" i="36"/>
  <c r="AA12" i="36"/>
  <c r="Z117" i="36"/>
  <c r="X105" i="36"/>
  <c r="Z93" i="36"/>
  <c r="Z81" i="36"/>
  <c r="X69" i="36"/>
  <c r="V57" i="36"/>
  <c r="Z45" i="36"/>
  <c r="X33" i="36"/>
  <c r="Z21" i="36"/>
  <c r="Z9" i="36"/>
  <c r="Y55" i="36"/>
  <c r="K118" i="36"/>
  <c r="M106" i="36"/>
  <c r="N94" i="36"/>
  <c r="Y94" i="36" s="1"/>
  <c r="K82" i="36"/>
  <c r="N70" i="36"/>
  <c r="Y70" i="36" s="1"/>
  <c r="K58" i="36"/>
  <c r="N46" i="36"/>
  <c r="K34" i="36"/>
  <c r="M22" i="36"/>
  <c r="M10" i="36"/>
  <c r="X106" i="36"/>
  <c r="X10" i="36"/>
  <c r="V109" i="36"/>
  <c r="V97" i="36"/>
  <c r="V85" i="36"/>
  <c r="V73" i="36"/>
  <c r="V61" i="36"/>
  <c r="V49" i="36"/>
  <c r="V37" i="36"/>
  <c r="V25" i="36"/>
  <c r="V13" i="36"/>
  <c r="AA104" i="36"/>
  <c r="AA92" i="36"/>
  <c r="AA80" i="36"/>
  <c r="AA68" i="36"/>
  <c r="AA20" i="36"/>
  <c r="AA8" i="36"/>
  <c r="Y66" i="36"/>
  <c r="Y54" i="36"/>
  <c r="Y42" i="36"/>
  <c r="AC114" i="36"/>
  <c r="AC102" i="36"/>
  <c r="AC90" i="36"/>
  <c r="X118" i="36"/>
  <c r="V108" i="36"/>
  <c r="V96" i="36"/>
  <c r="V84" i="36"/>
  <c r="V72" i="36"/>
  <c r="V60" i="36"/>
  <c r="V48" i="36"/>
  <c r="V36" i="36"/>
  <c r="V24" i="36"/>
  <c r="V12" i="36"/>
  <c r="V67" i="36"/>
  <c r="V55" i="36"/>
  <c r="V31" i="36"/>
  <c r="Y41" i="36"/>
  <c r="Y29" i="36"/>
  <c r="AA109" i="36"/>
  <c r="AA85" i="36"/>
  <c r="AA73" i="36"/>
  <c r="AA61" i="36"/>
  <c r="AA37" i="36"/>
  <c r="AA25" i="36"/>
  <c r="M116" i="36"/>
  <c r="N104" i="36"/>
  <c r="M92" i="36"/>
  <c r="N80" i="36"/>
  <c r="K68" i="36"/>
  <c r="N56" i="36"/>
  <c r="Y56" i="36" s="1"/>
  <c r="N44" i="36"/>
  <c r="Y44" i="36" s="1"/>
  <c r="K32" i="36"/>
  <c r="K8" i="36"/>
  <c r="O105" i="36"/>
  <c r="O93" i="36"/>
  <c r="O69" i="36"/>
  <c r="O57" i="36"/>
  <c r="O33" i="36"/>
  <c r="O21" i="36"/>
  <c r="W109" i="36"/>
  <c r="W97" i="36"/>
  <c r="W85" i="36"/>
  <c r="W73" i="36"/>
  <c r="W61" i="36"/>
  <c r="W49" i="36"/>
  <c r="W37" i="36"/>
  <c r="W25" i="36"/>
  <c r="W13" i="36"/>
  <c r="Y28" i="36"/>
  <c r="M79" i="36"/>
  <c r="K67" i="36"/>
  <c r="N55" i="36"/>
  <c r="AA55" i="36" s="1"/>
  <c r="M43" i="36"/>
  <c r="K31" i="36"/>
  <c r="M19" i="36"/>
  <c r="K7" i="36"/>
  <c r="X116" i="36"/>
  <c r="X104" i="36"/>
  <c r="X92" i="36"/>
  <c r="X80" i="36"/>
  <c r="X68" i="36"/>
  <c r="X56" i="36"/>
  <c r="X44" i="36"/>
  <c r="X32" i="36"/>
  <c r="X20" i="36"/>
  <c r="X8" i="36"/>
  <c r="V113" i="36"/>
  <c r="V89" i="36"/>
  <c r="V77" i="36"/>
  <c r="V53" i="36"/>
  <c r="W96" i="36"/>
  <c r="W84" i="36"/>
  <c r="W72" i="36"/>
  <c r="W60" i="36"/>
  <c r="W48" i="36"/>
  <c r="W24" i="36"/>
  <c r="W12" i="36"/>
  <c r="Z59" i="36"/>
  <c r="Z47" i="36"/>
  <c r="Z35" i="36"/>
  <c r="Z23" i="36"/>
  <c r="Z11" i="36"/>
  <c r="Z115" i="36"/>
  <c r="Z91" i="36"/>
  <c r="Z67" i="36"/>
  <c r="Y12" i="36"/>
  <c r="AA36" i="36"/>
  <c r="Y48" i="36"/>
  <c r="AA84" i="36"/>
  <c r="Y72" i="36"/>
  <c r="AA114" i="36"/>
  <c r="Y96" i="36"/>
  <c r="Y24" i="36"/>
  <c r="AA108" i="36"/>
  <c r="Y26" i="36"/>
  <c r="Y14" i="36"/>
  <c r="AA43" i="36"/>
  <c r="AC110" i="36"/>
  <c r="AC98" i="36"/>
  <c r="AC86" i="36"/>
  <c r="AC74" i="36"/>
  <c r="AC62" i="36"/>
  <c r="AC50" i="36"/>
  <c r="AC38" i="36"/>
  <c r="AC26" i="36"/>
  <c r="AC14" i="36"/>
  <c r="AC116" i="36"/>
  <c r="AC104" i="36"/>
  <c r="AC92" i="36"/>
  <c r="AC80" i="36"/>
  <c r="AC68" i="36"/>
  <c r="AC56" i="36"/>
  <c r="AC115" i="36"/>
  <c r="AC103" i="36"/>
  <c r="AC91" i="36"/>
  <c r="Y98" i="36"/>
  <c r="Y38" i="36"/>
  <c r="Y85" i="36"/>
  <c r="Y61" i="36"/>
  <c r="Y110" i="36"/>
  <c r="Y86" i="36"/>
  <c r="Y74" i="36"/>
  <c r="Y62" i="36"/>
  <c r="Y50" i="36"/>
  <c r="Y97" i="36"/>
  <c r="Y37" i="36"/>
  <c r="Y109" i="36"/>
  <c r="Y73" i="36"/>
  <c r="AC49" i="36"/>
  <c r="AC13" i="36"/>
  <c r="AA110" i="36"/>
  <c r="AA98" i="36"/>
  <c r="AA86" i="36"/>
  <c r="AA74" i="36"/>
  <c r="AA62" i="36"/>
  <c r="AA50" i="36"/>
  <c r="AA38" i="36"/>
  <c r="AA26" i="36"/>
  <c r="AA14" i="36"/>
  <c r="AA97" i="36"/>
  <c r="AA49" i="36"/>
  <c r="AA81" i="36"/>
  <c r="AA33" i="36"/>
  <c r="Z108" i="36"/>
  <c r="Z96" i="36"/>
  <c r="Z84" i="36"/>
  <c r="Z72" i="36"/>
  <c r="Z60" i="36"/>
  <c r="Z48" i="36"/>
  <c r="Z24" i="36"/>
  <c r="Z12" i="36"/>
  <c r="Z107" i="36"/>
  <c r="Z95" i="36"/>
  <c r="Z71" i="36"/>
  <c r="X98" i="36"/>
  <c r="X62" i="36"/>
  <c r="X26" i="36"/>
  <c r="V69" i="36"/>
  <c r="V33" i="36"/>
  <c r="Z83" i="36"/>
  <c r="X101" i="36"/>
  <c r="X65" i="36"/>
  <c r="X29" i="36"/>
  <c r="Y75" i="36"/>
  <c r="Y63" i="36"/>
  <c r="Y51" i="36"/>
  <c r="Y39" i="36"/>
  <c r="AA113" i="36"/>
  <c r="V105" i="36"/>
  <c r="X117" i="36"/>
  <c r="X97" i="36"/>
  <c r="X81" i="36"/>
  <c r="X61" i="36"/>
  <c r="X45" i="36"/>
  <c r="X25" i="36"/>
  <c r="X9" i="36"/>
  <c r="Z105" i="36"/>
  <c r="Z69" i="36"/>
  <c r="Z57" i="36"/>
  <c r="Z33" i="36"/>
  <c r="X111" i="36"/>
  <c r="X99" i="36"/>
  <c r="X87" i="36"/>
  <c r="X75" i="36"/>
  <c r="X63" i="36"/>
  <c r="X51" i="36"/>
  <c r="X39" i="36"/>
  <c r="X27" i="36"/>
  <c r="X15" i="36"/>
  <c r="AA111" i="36"/>
  <c r="AA99" i="36"/>
  <c r="AA87" i="36"/>
  <c r="AA75" i="36"/>
  <c r="AA63" i="36"/>
  <c r="V111" i="36"/>
  <c r="V99" i="36"/>
  <c r="V87" i="36"/>
  <c r="V75" i="36"/>
  <c r="V63" i="36"/>
  <c r="V51" i="36"/>
  <c r="V39" i="36"/>
  <c r="V27" i="36"/>
  <c r="V15" i="36"/>
  <c r="V116" i="36"/>
  <c r="Y104" i="36"/>
  <c r="Y92" i="36"/>
  <c r="Y80" i="36"/>
  <c r="Y68" i="36"/>
  <c r="V92" i="36"/>
  <c r="X85" i="36"/>
  <c r="X49" i="36"/>
  <c r="O116" i="36"/>
  <c r="O98" i="36"/>
  <c r="O80" i="36"/>
  <c r="O62" i="36"/>
  <c r="O44" i="36"/>
  <c r="O26" i="36"/>
  <c r="O8" i="36"/>
  <c r="X113" i="36"/>
  <c r="X89" i="36"/>
  <c r="X77" i="36"/>
  <c r="X53" i="36"/>
  <c r="X41" i="36"/>
  <c r="X17" i="36"/>
  <c r="X5" i="36"/>
  <c r="X110" i="36"/>
  <c r="X86" i="36"/>
  <c r="X74" i="36"/>
  <c r="X50" i="36"/>
  <c r="X38" i="36"/>
  <c r="X14" i="36"/>
  <c r="O111" i="36"/>
  <c r="O99" i="36"/>
  <c r="O87" i="36"/>
  <c r="O75" i="36"/>
  <c r="O63" i="36"/>
  <c r="O51" i="36"/>
  <c r="O39" i="36"/>
  <c r="O27" i="36"/>
  <c r="O15" i="36"/>
  <c r="K112" i="36"/>
  <c r="K79" i="36"/>
  <c r="K19" i="36"/>
  <c r="K4" i="36"/>
  <c r="M58" i="36"/>
  <c r="M32" i="36"/>
  <c r="N67" i="36"/>
  <c r="AA67" i="36" s="1"/>
  <c r="K113" i="36"/>
  <c r="K101" i="36"/>
  <c r="K89" i="36"/>
  <c r="N77" i="36"/>
  <c r="N65" i="36"/>
  <c r="N53" i="36"/>
  <c r="AA53" i="36" s="1"/>
  <c r="K94" i="36"/>
  <c r="M70" i="36"/>
  <c r="M44" i="36"/>
  <c r="M31" i="36"/>
  <c r="N32" i="36"/>
  <c r="Y32" i="36" s="1"/>
  <c r="N112" i="36"/>
  <c r="AA112" i="36" s="1"/>
  <c r="N100" i="36"/>
  <c r="N88" i="36"/>
  <c r="N76" i="36"/>
  <c r="N64" i="36"/>
  <c r="N52" i="36"/>
  <c r="N40" i="36"/>
  <c r="AA40" i="36" s="1"/>
  <c r="N28" i="36"/>
  <c r="AA28" i="36" s="1"/>
  <c r="N16" i="36"/>
  <c r="AA16" i="36" s="1"/>
  <c r="N4" i="36"/>
  <c r="M82" i="36"/>
  <c r="M56" i="36"/>
  <c r="N31" i="36"/>
  <c r="Y31" i="36" s="1"/>
  <c r="K111" i="36"/>
  <c r="K99" i="36"/>
  <c r="K87" i="36"/>
  <c r="N75" i="36"/>
  <c r="N63" i="36"/>
  <c r="N51" i="36"/>
  <c r="AA51" i="36" s="1"/>
  <c r="N39" i="36"/>
  <c r="AA39" i="36" s="1"/>
  <c r="N27" i="36"/>
  <c r="AA27" i="36" s="1"/>
  <c r="N15" i="36"/>
  <c r="AA15" i="36" s="1"/>
  <c r="K108" i="36"/>
  <c r="K92" i="36"/>
  <c r="K46" i="36"/>
  <c r="K16" i="36"/>
  <c r="M94" i="36"/>
  <c r="M68" i="36"/>
  <c r="M55" i="36"/>
  <c r="N118" i="36"/>
  <c r="AA118" i="36" s="1"/>
  <c r="N79" i="36"/>
  <c r="Y79" i="36" s="1"/>
  <c r="K106" i="36"/>
  <c r="K88" i="36"/>
  <c r="K44" i="36"/>
  <c r="M40" i="36"/>
  <c r="N116" i="36"/>
  <c r="Y116" i="36" s="1"/>
  <c r="N10" i="36"/>
  <c r="K55" i="36"/>
  <c r="N22" i="36"/>
  <c r="N7" i="36"/>
  <c r="K22" i="36"/>
  <c r="M115" i="36"/>
  <c r="M103" i="36"/>
  <c r="M111" i="36"/>
  <c r="M99" i="36"/>
  <c r="M87" i="36"/>
  <c r="M75" i="36"/>
  <c r="M63" i="36"/>
  <c r="M51" i="36"/>
  <c r="M39" i="36"/>
  <c r="M27" i="36"/>
  <c r="M15" i="36"/>
  <c r="L115" i="36"/>
  <c r="L103" i="36"/>
  <c r="L91" i="36"/>
  <c r="K27" i="36"/>
  <c r="N115" i="36"/>
  <c r="N103" i="36"/>
  <c r="Y103" i="36" s="1"/>
  <c r="N91" i="36"/>
  <c r="Y91" i="36" s="1"/>
  <c r="K115" i="36"/>
  <c r="K103" i="36"/>
  <c r="L112" i="36"/>
  <c r="N114" i="36"/>
  <c r="Y114" i="36" s="1"/>
  <c r="N102" i="36"/>
  <c r="Y102" i="36" s="1"/>
  <c r="K75" i="36"/>
  <c r="K15" i="36"/>
  <c r="K77" i="36"/>
  <c r="K39" i="36"/>
  <c r="L111" i="36"/>
  <c r="L99" i="36"/>
  <c r="L87" i="36"/>
  <c r="L75" i="36"/>
  <c r="L63" i="36"/>
  <c r="L51" i="36"/>
  <c r="L39" i="36"/>
  <c r="L27" i="36"/>
  <c r="L15" i="36"/>
  <c r="N113" i="36"/>
  <c r="Y113" i="36" s="1"/>
  <c r="N101" i="36"/>
  <c r="N89" i="36"/>
  <c r="K76" i="36"/>
  <c r="K63" i="36"/>
  <c r="K51" i="36"/>
  <c r="K85" i="36"/>
  <c r="K49" i="36"/>
  <c r="K37" i="36"/>
  <c r="K25" i="36"/>
  <c r="K13" i="36"/>
  <c r="N111" i="36"/>
  <c r="Y111" i="36" s="1"/>
  <c r="N99" i="36"/>
  <c r="Y99" i="36" s="1"/>
  <c r="N87" i="36"/>
  <c r="Y87" i="36" s="1"/>
  <c r="Y15" i="36" l="1"/>
  <c r="Y67" i="36"/>
  <c r="Y118" i="36"/>
  <c r="AA102" i="36"/>
  <c r="AA10" i="36"/>
  <c r="Y10" i="36"/>
  <c r="Y27" i="36"/>
  <c r="AA116" i="36"/>
  <c r="Y4" i="36"/>
  <c r="AA4" i="36"/>
  <c r="Y115" i="36"/>
  <c r="AA115" i="36"/>
  <c r="Y101" i="36"/>
  <c r="AA101" i="36"/>
  <c r="AA79" i="36"/>
  <c r="AA89" i="36"/>
  <c r="Y89" i="36"/>
  <c r="Y52" i="36"/>
  <c r="AA52" i="36"/>
  <c r="AA65" i="36"/>
  <c r="Y65" i="36"/>
  <c r="AA32" i="36"/>
  <c r="Y5" i="36"/>
  <c r="AA5" i="36"/>
  <c r="AA31" i="36"/>
  <c r="Y46" i="36"/>
  <c r="AA46" i="36"/>
  <c r="AA64" i="36"/>
  <c r="Y64" i="36"/>
  <c r="Y77" i="36"/>
  <c r="AA77" i="36"/>
  <c r="AA91" i="36"/>
  <c r="AA44" i="36"/>
  <c r="Y7" i="36"/>
  <c r="AA7" i="36"/>
  <c r="Y76" i="36"/>
  <c r="AA76" i="36"/>
  <c r="AA103" i="36"/>
  <c r="Y16" i="36"/>
  <c r="Y53" i="36"/>
  <c r="AA56" i="36"/>
  <c r="AA17" i="36"/>
  <c r="Y17" i="36"/>
  <c r="Y22" i="36"/>
  <c r="AA22" i="36"/>
  <c r="AA88" i="36"/>
  <c r="Y88" i="36"/>
  <c r="Y100" i="36"/>
  <c r="AA100" i="36"/>
  <c r="Y40" i="36"/>
  <c r="Y112" i="36"/>
  <c r="B14" i="40" l="1" a="1"/>
  <c r="B14" i="40" s="1"/>
  <c r="B10" i="40" a="1"/>
  <c r="B10" i="40" s="1"/>
  <c r="H30" i="40" l="1" a="1"/>
  <c r="H30" i="40" s="1"/>
  <c r="H22" i="40" a="1"/>
  <c r="H22" i="40" s="1"/>
  <c r="BZ108" i="37" l="1"/>
  <c r="BZ43" i="37"/>
  <c r="BZ44" i="37"/>
  <c r="CE106" i="37"/>
  <c r="CE108" i="37"/>
  <c r="CE43" i="37"/>
  <c r="CE44" i="37"/>
  <c r="BZ106" i="37" l="1"/>
  <c r="CE78" i="37"/>
  <c r="BZ78" i="37"/>
  <c r="CE84" i="37"/>
  <c r="BZ84" i="37"/>
  <c r="CE82" i="37"/>
  <c r="BZ82" i="37"/>
  <c r="CE80" i="37"/>
  <c r="BZ80" i="37"/>
  <c r="CE34" i="37"/>
  <c r="BZ34" i="37"/>
  <c r="CE133" i="37"/>
  <c r="BZ133" i="37"/>
  <c r="CE132" i="37"/>
  <c r="BZ132" i="37"/>
  <c r="CE59" i="37"/>
  <c r="BZ59" i="37"/>
  <c r="CE88" i="37"/>
  <c r="BZ88" i="37"/>
  <c r="CE131" i="37"/>
  <c r="BZ131" i="37"/>
  <c r="CE86" i="37"/>
  <c r="BZ86" i="37"/>
  <c r="CE51" i="37"/>
  <c r="BZ51" i="37"/>
  <c r="CE54" i="37"/>
  <c r="BZ54" i="37"/>
  <c r="CE68" i="37"/>
  <c r="BZ68" i="37"/>
  <c r="CE129" i="37"/>
  <c r="BZ129" i="37"/>
  <c r="CE75" i="37"/>
  <c r="BZ75" i="37"/>
  <c r="CE35" i="37"/>
  <c r="BZ35" i="37"/>
  <c r="CE48" i="37"/>
  <c r="BZ48" i="37"/>
  <c r="CE36" i="37"/>
  <c r="BZ36" i="37"/>
  <c r="CE31" i="37"/>
  <c r="BZ31" i="37"/>
  <c r="CE118" i="37"/>
  <c r="BZ118" i="37"/>
  <c r="CE89" i="37"/>
  <c r="BZ89" i="37"/>
  <c r="CE109" i="37"/>
  <c r="BZ109" i="37"/>
  <c r="CE135" i="37"/>
  <c r="BZ135" i="37"/>
  <c r="CE102" i="37"/>
  <c r="BZ102" i="37"/>
  <c r="CE63" i="37"/>
  <c r="BZ63" i="37"/>
  <c r="CE61" i="37"/>
  <c r="BZ61" i="37"/>
  <c r="CE41" i="37"/>
  <c r="BZ41" i="37"/>
  <c r="CE91" i="37"/>
  <c r="BZ91" i="37"/>
  <c r="CE95" i="37"/>
  <c r="BZ95" i="37"/>
  <c r="CE60" i="37"/>
  <c r="BZ60" i="37"/>
  <c r="CE122" i="37"/>
  <c r="BZ122" i="37"/>
  <c r="CE52" i="37"/>
  <c r="BZ52" i="37"/>
  <c r="CE19" i="37"/>
  <c r="BZ19" i="37"/>
  <c r="CE2" i="37"/>
  <c r="BZ2" i="37"/>
  <c r="CE134" i="37"/>
  <c r="BZ134" i="37"/>
  <c r="CE101" i="37"/>
  <c r="BZ101" i="37"/>
  <c r="CE62" i="37"/>
  <c r="BZ62" i="37"/>
  <c r="CE94" i="37"/>
  <c r="BZ94" i="37"/>
  <c r="CE90" i="37"/>
  <c r="BZ90" i="37"/>
  <c r="CE17" i="37"/>
  <c r="BZ17" i="37"/>
  <c r="CE16" i="37"/>
  <c r="BZ16" i="37"/>
  <c r="CE15" i="37"/>
  <c r="BZ15" i="37"/>
  <c r="CE18" i="37"/>
  <c r="BZ18" i="37"/>
  <c r="CE107" i="37"/>
  <c r="BZ107" i="37"/>
  <c r="CE105" i="37"/>
  <c r="BZ105" i="37"/>
  <c r="CE77" i="37"/>
  <c r="BZ77" i="37"/>
  <c r="CE83" i="37"/>
  <c r="BZ83" i="37"/>
  <c r="CE81" i="37"/>
  <c r="BZ81" i="37"/>
  <c r="CE123" i="37"/>
  <c r="BZ123" i="37"/>
  <c r="CE79" i="37"/>
  <c r="BZ79" i="37"/>
  <c r="CE22" i="37"/>
  <c r="BZ22" i="37"/>
  <c r="CE23" i="37"/>
  <c r="BZ23" i="37"/>
  <c r="CE27" i="37"/>
  <c r="BZ27" i="37"/>
  <c r="CE20" i="37"/>
  <c r="BZ20" i="37"/>
  <c r="CE21" i="37"/>
  <c r="BZ21" i="37"/>
  <c r="CE26" i="37"/>
  <c r="BZ26" i="37"/>
  <c r="CE104" i="37"/>
  <c r="BZ104" i="37"/>
  <c r="CE25" i="37"/>
  <c r="BZ25" i="37"/>
  <c r="CE24" i="37"/>
  <c r="BZ24" i="37"/>
  <c r="CE33" i="37"/>
  <c r="BZ33" i="37"/>
  <c r="CE32" i="37"/>
  <c r="BZ32" i="37"/>
  <c r="CE40" i="37"/>
  <c r="BZ40" i="37"/>
  <c r="CE65" i="37"/>
  <c r="BZ65" i="37"/>
  <c r="CE58" i="37"/>
  <c r="BZ58" i="37"/>
  <c r="CE64" i="37"/>
  <c r="BZ64" i="37"/>
  <c r="CE57" i="37"/>
  <c r="BZ57" i="37"/>
  <c r="CE55" i="37"/>
  <c r="BZ55" i="37"/>
  <c r="CE3" i="37"/>
  <c r="BZ3" i="37"/>
  <c r="CE56" i="37"/>
  <c r="BZ56" i="37"/>
  <c r="CE45" i="37"/>
  <c r="BZ45" i="37"/>
  <c r="CE46" i="37"/>
  <c r="BZ46" i="37"/>
  <c r="CE49" i="37"/>
  <c r="BZ49" i="37"/>
  <c r="CE38" i="37"/>
  <c r="BZ38" i="37"/>
  <c r="CE125" i="37"/>
  <c r="BZ125" i="37"/>
  <c r="CE126" i="37"/>
  <c r="BZ126" i="37"/>
  <c r="CE76" i="37"/>
  <c r="BZ76" i="37"/>
  <c r="CE66" i="37"/>
  <c r="BZ66" i="37"/>
  <c r="CE124" i="37"/>
  <c r="BZ124" i="37"/>
  <c r="CE119" i="37"/>
  <c r="BZ119" i="37"/>
  <c r="CE120" i="37"/>
  <c r="BZ120" i="37"/>
  <c r="CE121" i="37"/>
  <c r="BZ121" i="37"/>
  <c r="CE39" i="37"/>
  <c r="BZ39" i="37"/>
  <c r="CE113" i="37"/>
  <c r="BZ113" i="37"/>
  <c r="CE114" i="37"/>
  <c r="BZ114" i="37"/>
  <c r="CE112" i="37"/>
  <c r="BZ112" i="37"/>
  <c r="CE111" i="37"/>
  <c r="BZ111" i="37"/>
  <c r="CE110" i="37"/>
  <c r="BZ110" i="37"/>
  <c r="CE87" i="37"/>
  <c r="BZ87" i="37"/>
  <c r="CE130" i="37"/>
  <c r="BZ130" i="37"/>
  <c r="CE127" i="37"/>
  <c r="BZ127" i="37"/>
  <c r="CE85" i="37"/>
  <c r="BZ85" i="37"/>
  <c r="CE50" i="37"/>
  <c r="BZ50" i="37"/>
  <c r="CE53" i="37"/>
  <c r="BZ53" i="37"/>
  <c r="CE67" i="37"/>
  <c r="BZ67" i="37"/>
  <c r="CE128" i="37"/>
  <c r="BZ128" i="37"/>
  <c r="CE9" i="37"/>
  <c r="BZ9" i="37"/>
  <c r="CE7" i="37"/>
  <c r="BZ7" i="37"/>
  <c r="CE5" i="37"/>
  <c r="BZ5" i="37"/>
  <c r="CE10" i="37"/>
  <c r="BZ10" i="37"/>
  <c r="CE8" i="37"/>
  <c r="BZ8" i="37"/>
  <c r="CE4" i="37"/>
  <c r="BZ4" i="37"/>
  <c r="CE6" i="37"/>
  <c r="BZ6" i="37"/>
  <c r="CE117" i="37"/>
  <c r="BZ117" i="37"/>
  <c r="CE115" i="37"/>
  <c r="BZ115" i="37"/>
  <c r="CE116" i="37"/>
  <c r="BZ116" i="37"/>
  <c r="CE93" i="37"/>
  <c r="BZ93" i="37"/>
  <c r="CE71" i="37"/>
  <c r="BZ71" i="37"/>
  <c r="CE37" i="37"/>
  <c r="BZ37" i="37"/>
  <c r="CE97" i="37"/>
  <c r="BZ97" i="37"/>
  <c r="CE100" i="37"/>
  <c r="BZ100" i="37"/>
  <c r="CE30" i="37"/>
  <c r="BZ30" i="37"/>
  <c r="CE74" i="37"/>
  <c r="BZ74" i="37"/>
  <c r="CE103" i="37"/>
  <c r="BZ103" i="37"/>
  <c r="CE70" i="37"/>
  <c r="BZ70" i="37"/>
  <c r="CE72" i="37"/>
  <c r="BZ72" i="37"/>
  <c r="CE92" i="37"/>
  <c r="BZ92" i="37"/>
  <c r="CE69" i="37"/>
  <c r="BZ69" i="37"/>
  <c r="CE42" i="37"/>
  <c r="BZ42" i="37"/>
  <c r="CE96" i="37"/>
  <c r="BZ96" i="37"/>
  <c r="CE99" i="37"/>
  <c r="BZ99" i="37"/>
  <c r="CE28" i="37"/>
  <c r="BZ28" i="37"/>
  <c r="CE29" i="37"/>
  <c r="BZ29" i="37"/>
  <c r="CE73" i="37"/>
  <c r="BZ73" i="37"/>
  <c r="CE14" i="37"/>
  <c r="BZ14" i="37"/>
  <c r="CE11" i="37"/>
  <c r="BZ11" i="37"/>
  <c r="CE12" i="37"/>
  <c r="BZ12" i="37"/>
  <c r="CE98" i="37"/>
  <c r="BZ98" i="37"/>
  <c r="CE47" i="37"/>
  <c r="BZ47" i="37"/>
  <c r="CE13" i="37"/>
  <c r="BZ13" i="37"/>
  <c r="E3" i="36"/>
  <c r="A3" i="27"/>
  <c r="A4" i="27"/>
  <c r="A5" i="27"/>
  <c r="A6" i="27"/>
  <c r="A7" i="27"/>
  <c r="A8" i="27"/>
  <c r="A9" i="27"/>
  <c r="A10" i="27"/>
  <c r="A11" i="27"/>
  <c r="A12" i="27"/>
  <c r="A13" i="27"/>
  <c r="A14" i="27"/>
  <c r="A15" i="27"/>
  <c r="A16" i="27"/>
  <c r="A17" i="27"/>
  <c r="A18" i="27"/>
  <c r="A19" i="27"/>
  <c r="A20" i="27"/>
  <c r="A21" i="27"/>
  <c r="A22" i="27"/>
  <c r="A23" i="27"/>
  <c r="A24" i="27"/>
  <c r="A25" i="27"/>
  <c r="A26" i="27"/>
  <c r="A27" i="27"/>
  <c r="A28" i="27"/>
  <c r="A29" i="27"/>
  <c r="A30" i="27"/>
  <c r="A31" i="27"/>
  <c r="A32" i="27"/>
  <c r="A33" i="27"/>
  <c r="A34" i="27"/>
  <c r="A35" i="27"/>
  <c r="A36" i="27"/>
  <c r="A37" i="27"/>
  <c r="A38" i="27"/>
  <c r="A39" i="27"/>
  <c r="A40" i="27"/>
  <c r="A41" i="27"/>
  <c r="A42" i="27"/>
  <c r="A43" i="27"/>
  <c r="A44" i="27"/>
  <c r="A45" i="27"/>
  <c r="A46" i="27"/>
  <c r="A47" i="27"/>
  <c r="A48" i="27"/>
  <c r="A49" i="27"/>
  <c r="A50" i="27"/>
  <c r="A51" i="27"/>
  <c r="A52" i="27"/>
  <c r="A53" i="27"/>
  <c r="A54" i="27"/>
  <c r="A55" i="27"/>
  <c r="A56" i="27"/>
  <c r="A57" i="27"/>
  <c r="A58" i="27"/>
  <c r="A59" i="27"/>
  <c r="A60" i="27"/>
  <c r="A61" i="27"/>
  <c r="A62" i="27"/>
  <c r="A63" i="27"/>
  <c r="A64" i="27"/>
  <c r="A65" i="27"/>
  <c r="A66" i="27"/>
  <c r="A67" i="27"/>
  <c r="A68" i="27"/>
  <c r="A69" i="27"/>
  <c r="A70" i="27"/>
  <c r="A71" i="27"/>
  <c r="A72" i="27"/>
  <c r="A73" i="27"/>
  <c r="A74" i="27"/>
  <c r="A75" i="27"/>
  <c r="A76" i="27"/>
  <c r="A77" i="27"/>
  <c r="A78" i="27"/>
  <c r="A79" i="27"/>
  <c r="A80" i="27"/>
  <c r="A81" i="27"/>
  <c r="A82" i="27"/>
  <c r="A83" i="27"/>
  <c r="A84" i="27"/>
  <c r="A85" i="27"/>
  <c r="A86" i="27"/>
  <c r="A87" i="27"/>
  <c r="A88" i="27"/>
  <c r="A89" i="27"/>
  <c r="A90" i="27"/>
  <c r="A91" i="27"/>
  <c r="A92" i="27"/>
  <c r="A93" i="27"/>
  <c r="A94" i="27"/>
  <c r="A95" i="27"/>
  <c r="A96" i="27"/>
  <c r="A97" i="27"/>
  <c r="A98" i="27"/>
  <c r="A99" i="27"/>
  <c r="A100" i="27"/>
  <c r="A101" i="27"/>
  <c r="A102" i="27"/>
  <c r="A103" i="27"/>
  <c r="A104" i="27"/>
  <c r="A105" i="27"/>
  <c r="A106" i="27"/>
  <c r="A107" i="27"/>
  <c r="A108" i="27"/>
  <c r="A109" i="27"/>
  <c r="A110" i="27"/>
  <c r="A111" i="27"/>
  <c r="A112" i="27"/>
  <c r="A113" i="27"/>
  <c r="A114" i="27"/>
  <c r="A115" i="27"/>
  <c r="A116" i="27"/>
  <c r="A117" i="27"/>
  <c r="A118" i="27"/>
  <c r="A119" i="27"/>
  <c r="A120" i="27"/>
  <c r="A121" i="27"/>
  <c r="A122" i="27"/>
  <c r="A123" i="27"/>
  <c r="A124" i="27"/>
  <c r="A125" i="27"/>
  <c r="A126" i="27"/>
  <c r="A127" i="27"/>
  <c r="A128" i="27"/>
  <c r="A129" i="27"/>
  <c r="A2" i="27"/>
  <c r="J3" i="36"/>
  <c r="I3" i="36"/>
  <c r="H3" i="36"/>
  <c r="G3" i="36"/>
  <c r="F3" i="36"/>
  <c r="A3" i="36"/>
  <c r="AG3" i="36"/>
  <c r="AH3" i="36"/>
  <c r="AI3" i="36"/>
  <c r="AJ3" i="36"/>
  <c r="AV2" i="36"/>
  <c r="AU2" i="36"/>
  <c r="AT2" i="36"/>
  <c r="AS2" i="36"/>
  <c r="AR2" i="36"/>
  <c r="AQ2" i="36"/>
  <c r="AP2" i="36"/>
  <c r="AO2" i="36"/>
  <c r="AN2" i="36"/>
  <c r="AM2" i="36"/>
  <c r="AL2" i="36"/>
  <c r="AJ2" i="36"/>
  <c r="AI2" i="36"/>
  <c r="AH2" i="36"/>
  <c r="AG2" i="36"/>
  <c r="AF3" i="36"/>
  <c r="AF2" i="36"/>
  <c r="AE3" i="36"/>
  <c r="AE2" i="36"/>
  <c r="AD3" i="36"/>
  <c r="AD2" i="36"/>
  <c r="U3" i="36"/>
  <c r="T3" i="36"/>
  <c r="S3" i="36"/>
  <c r="S2" i="36"/>
  <c r="U2" i="36"/>
  <c r="R3" i="36"/>
  <c r="Q3" i="36"/>
  <c r="P3" i="36"/>
  <c r="G3" i="27"/>
  <c r="H3" i="27"/>
  <c r="I3" i="27"/>
  <c r="J3" i="27"/>
  <c r="P3" i="27"/>
  <c r="Q3" i="27"/>
  <c r="R3" i="27"/>
  <c r="G4" i="27"/>
  <c r="H4" i="27"/>
  <c r="I4" i="27"/>
  <c r="J4" i="27"/>
  <c r="P4" i="27"/>
  <c r="Q4" i="27"/>
  <c r="R4" i="27"/>
  <c r="G5" i="27"/>
  <c r="H5" i="27"/>
  <c r="I5" i="27"/>
  <c r="J5" i="27"/>
  <c r="P5" i="27"/>
  <c r="Q5" i="27"/>
  <c r="R5" i="27"/>
  <c r="G6" i="27"/>
  <c r="H6" i="27"/>
  <c r="I6" i="27"/>
  <c r="J6" i="27"/>
  <c r="P6" i="27"/>
  <c r="Q6" i="27"/>
  <c r="R6" i="27"/>
  <c r="G7" i="27"/>
  <c r="H7" i="27"/>
  <c r="I7" i="27"/>
  <c r="J7" i="27"/>
  <c r="P7" i="27"/>
  <c r="Q7" i="27"/>
  <c r="R7" i="27"/>
  <c r="G8" i="27"/>
  <c r="H8" i="27"/>
  <c r="I8" i="27"/>
  <c r="J8" i="27"/>
  <c r="P8" i="27"/>
  <c r="Q8" i="27"/>
  <c r="R8" i="27"/>
  <c r="G9" i="27"/>
  <c r="H9" i="27"/>
  <c r="I9" i="27"/>
  <c r="J9" i="27"/>
  <c r="P9" i="27"/>
  <c r="Q9" i="27"/>
  <c r="R9" i="27"/>
  <c r="G10" i="27"/>
  <c r="H10" i="27"/>
  <c r="I10" i="27"/>
  <c r="J10" i="27"/>
  <c r="P10" i="27"/>
  <c r="Q10" i="27"/>
  <c r="R10" i="27"/>
  <c r="G11" i="27"/>
  <c r="H11" i="27"/>
  <c r="I11" i="27"/>
  <c r="J11" i="27"/>
  <c r="P11" i="27"/>
  <c r="Q11" i="27"/>
  <c r="R11" i="27"/>
  <c r="G12" i="27"/>
  <c r="H12" i="27"/>
  <c r="I12" i="27"/>
  <c r="J12" i="27"/>
  <c r="P12" i="27"/>
  <c r="Q12" i="27"/>
  <c r="R12" i="27"/>
  <c r="G13" i="27"/>
  <c r="H13" i="27"/>
  <c r="I13" i="27"/>
  <c r="J13" i="27"/>
  <c r="P13" i="27"/>
  <c r="Q13" i="27"/>
  <c r="R13" i="27"/>
  <c r="G14" i="27"/>
  <c r="H14" i="27"/>
  <c r="I14" i="27"/>
  <c r="J14" i="27"/>
  <c r="P14" i="27"/>
  <c r="Q14" i="27"/>
  <c r="R14" i="27"/>
  <c r="G15" i="27"/>
  <c r="H15" i="27"/>
  <c r="I15" i="27"/>
  <c r="J15" i="27"/>
  <c r="P15" i="27"/>
  <c r="Q15" i="27"/>
  <c r="R15" i="27"/>
  <c r="G16" i="27"/>
  <c r="H16" i="27"/>
  <c r="I16" i="27"/>
  <c r="J16" i="27"/>
  <c r="P16" i="27"/>
  <c r="Q16" i="27"/>
  <c r="R16" i="27"/>
  <c r="G17" i="27"/>
  <c r="H17" i="27"/>
  <c r="I17" i="27"/>
  <c r="J17" i="27"/>
  <c r="P17" i="27"/>
  <c r="Q17" i="27"/>
  <c r="R17" i="27"/>
  <c r="G18" i="27"/>
  <c r="H18" i="27"/>
  <c r="I18" i="27"/>
  <c r="J18" i="27"/>
  <c r="P18" i="27"/>
  <c r="Q18" i="27"/>
  <c r="R18" i="27"/>
  <c r="G19" i="27"/>
  <c r="H19" i="27"/>
  <c r="I19" i="27"/>
  <c r="J19" i="27"/>
  <c r="P19" i="27"/>
  <c r="Q19" i="27"/>
  <c r="R19" i="27"/>
  <c r="G20" i="27"/>
  <c r="H20" i="27"/>
  <c r="I20" i="27"/>
  <c r="J20" i="27"/>
  <c r="P20" i="27"/>
  <c r="Q20" i="27"/>
  <c r="R20" i="27"/>
  <c r="G21" i="27"/>
  <c r="H21" i="27"/>
  <c r="I21" i="27"/>
  <c r="J21" i="27"/>
  <c r="P21" i="27"/>
  <c r="Q21" i="27"/>
  <c r="R21" i="27"/>
  <c r="G22" i="27"/>
  <c r="H22" i="27"/>
  <c r="I22" i="27"/>
  <c r="J22" i="27"/>
  <c r="P22" i="27"/>
  <c r="Q22" i="27"/>
  <c r="R22" i="27"/>
  <c r="G23" i="27"/>
  <c r="H23" i="27"/>
  <c r="I23" i="27"/>
  <c r="J23" i="27"/>
  <c r="P23" i="27"/>
  <c r="Q23" i="27"/>
  <c r="R23" i="27"/>
  <c r="G24" i="27"/>
  <c r="H24" i="27"/>
  <c r="I24" i="27"/>
  <c r="J24" i="27"/>
  <c r="P24" i="27"/>
  <c r="Q24" i="27"/>
  <c r="R24" i="27"/>
  <c r="G25" i="27"/>
  <c r="H25" i="27"/>
  <c r="I25" i="27"/>
  <c r="J25" i="27"/>
  <c r="P25" i="27"/>
  <c r="Q25" i="27"/>
  <c r="R25" i="27"/>
  <c r="G26" i="27"/>
  <c r="H26" i="27"/>
  <c r="I26" i="27"/>
  <c r="J26" i="27"/>
  <c r="P26" i="27"/>
  <c r="Q26" i="27"/>
  <c r="R26" i="27"/>
  <c r="G27" i="27"/>
  <c r="H27" i="27"/>
  <c r="I27" i="27"/>
  <c r="J27" i="27"/>
  <c r="P27" i="27"/>
  <c r="Q27" i="27"/>
  <c r="R27" i="27"/>
  <c r="G28" i="27"/>
  <c r="H28" i="27"/>
  <c r="I28" i="27"/>
  <c r="J28" i="27"/>
  <c r="P28" i="27"/>
  <c r="Q28" i="27"/>
  <c r="R28" i="27"/>
  <c r="G29" i="27"/>
  <c r="H29" i="27"/>
  <c r="I29" i="27"/>
  <c r="J29" i="27"/>
  <c r="P29" i="27"/>
  <c r="Q29" i="27"/>
  <c r="R29" i="27"/>
  <c r="G30" i="27"/>
  <c r="H30" i="27"/>
  <c r="I30" i="27"/>
  <c r="J30" i="27"/>
  <c r="P30" i="27"/>
  <c r="Q30" i="27"/>
  <c r="R30" i="27"/>
  <c r="G31" i="27"/>
  <c r="H31" i="27"/>
  <c r="I31" i="27"/>
  <c r="J31" i="27"/>
  <c r="P31" i="27"/>
  <c r="Q31" i="27"/>
  <c r="R31" i="27"/>
  <c r="G32" i="27"/>
  <c r="H32" i="27"/>
  <c r="I32" i="27"/>
  <c r="J32" i="27"/>
  <c r="P32" i="27"/>
  <c r="Q32" i="27"/>
  <c r="R32" i="27"/>
  <c r="G33" i="27"/>
  <c r="H33" i="27"/>
  <c r="I33" i="27"/>
  <c r="J33" i="27"/>
  <c r="P33" i="27"/>
  <c r="Q33" i="27"/>
  <c r="R33" i="27"/>
  <c r="G34" i="27"/>
  <c r="H34" i="27"/>
  <c r="I34" i="27"/>
  <c r="J34" i="27"/>
  <c r="P34" i="27"/>
  <c r="Q34" i="27"/>
  <c r="R34" i="27"/>
  <c r="G35" i="27"/>
  <c r="H35" i="27"/>
  <c r="I35" i="27"/>
  <c r="J35" i="27"/>
  <c r="P35" i="27"/>
  <c r="Q35" i="27"/>
  <c r="R35" i="27"/>
  <c r="G36" i="27"/>
  <c r="H36" i="27"/>
  <c r="I36" i="27"/>
  <c r="J36" i="27"/>
  <c r="P36" i="27"/>
  <c r="Q36" i="27"/>
  <c r="R36" i="27"/>
  <c r="G37" i="27"/>
  <c r="H37" i="27"/>
  <c r="I37" i="27"/>
  <c r="J37" i="27"/>
  <c r="P37" i="27"/>
  <c r="Q37" i="27"/>
  <c r="R37" i="27"/>
  <c r="G38" i="27"/>
  <c r="H38" i="27"/>
  <c r="I38" i="27"/>
  <c r="J38" i="27"/>
  <c r="P38" i="27"/>
  <c r="Q38" i="27"/>
  <c r="R38" i="27"/>
  <c r="G39" i="27"/>
  <c r="H39" i="27"/>
  <c r="I39" i="27"/>
  <c r="J39" i="27"/>
  <c r="P39" i="27"/>
  <c r="Q39" i="27"/>
  <c r="R39" i="27"/>
  <c r="G40" i="27"/>
  <c r="H40" i="27"/>
  <c r="I40" i="27"/>
  <c r="J40" i="27"/>
  <c r="P40" i="27"/>
  <c r="Q40" i="27"/>
  <c r="R40" i="27"/>
  <c r="G41" i="27"/>
  <c r="H41" i="27"/>
  <c r="I41" i="27"/>
  <c r="J41" i="27"/>
  <c r="P41" i="27"/>
  <c r="Q41" i="27"/>
  <c r="R41" i="27"/>
  <c r="G42" i="27"/>
  <c r="H42" i="27"/>
  <c r="I42" i="27"/>
  <c r="J42" i="27"/>
  <c r="P42" i="27"/>
  <c r="Q42" i="27"/>
  <c r="R42" i="27"/>
  <c r="G43" i="27"/>
  <c r="H43" i="27"/>
  <c r="I43" i="27"/>
  <c r="J43" i="27"/>
  <c r="P43" i="27"/>
  <c r="Q43" i="27"/>
  <c r="R43" i="27"/>
  <c r="G44" i="27"/>
  <c r="H44" i="27"/>
  <c r="I44" i="27"/>
  <c r="J44" i="27"/>
  <c r="P44" i="27"/>
  <c r="Q44" i="27"/>
  <c r="R44" i="27"/>
  <c r="G45" i="27"/>
  <c r="H45" i="27"/>
  <c r="I45" i="27"/>
  <c r="J45" i="27"/>
  <c r="P45" i="27"/>
  <c r="Q45" i="27"/>
  <c r="R45" i="27"/>
  <c r="G46" i="27"/>
  <c r="H46" i="27"/>
  <c r="I46" i="27"/>
  <c r="J46" i="27"/>
  <c r="P46" i="27"/>
  <c r="Q46" i="27"/>
  <c r="R46" i="27"/>
  <c r="G47" i="27"/>
  <c r="H47" i="27"/>
  <c r="I47" i="27"/>
  <c r="J47" i="27"/>
  <c r="P47" i="27"/>
  <c r="Q47" i="27"/>
  <c r="R47" i="27"/>
  <c r="G48" i="27"/>
  <c r="H48" i="27"/>
  <c r="I48" i="27"/>
  <c r="J48" i="27"/>
  <c r="P48" i="27"/>
  <c r="Q48" i="27"/>
  <c r="R48" i="27"/>
  <c r="G49" i="27"/>
  <c r="H49" i="27"/>
  <c r="I49" i="27"/>
  <c r="J49" i="27"/>
  <c r="P49" i="27"/>
  <c r="Q49" i="27"/>
  <c r="R49" i="27"/>
  <c r="G50" i="27"/>
  <c r="H50" i="27"/>
  <c r="I50" i="27"/>
  <c r="J50" i="27"/>
  <c r="P50" i="27"/>
  <c r="Q50" i="27"/>
  <c r="R50" i="27"/>
  <c r="G51" i="27"/>
  <c r="H51" i="27"/>
  <c r="I51" i="27"/>
  <c r="J51" i="27"/>
  <c r="P51" i="27"/>
  <c r="Q51" i="27"/>
  <c r="R51" i="27"/>
  <c r="G52" i="27"/>
  <c r="H52" i="27"/>
  <c r="I52" i="27"/>
  <c r="J52" i="27"/>
  <c r="P52" i="27"/>
  <c r="Q52" i="27"/>
  <c r="R52" i="27"/>
  <c r="G53" i="27"/>
  <c r="H53" i="27"/>
  <c r="I53" i="27"/>
  <c r="J53" i="27"/>
  <c r="P53" i="27"/>
  <c r="Q53" i="27"/>
  <c r="R53" i="27"/>
  <c r="G54" i="27"/>
  <c r="H54" i="27"/>
  <c r="I54" i="27"/>
  <c r="J54" i="27"/>
  <c r="P54" i="27"/>
  <c r="Q54" i="27"/>
  <c r="R54" i="27"/>
  <c r="G55" i="27"/>
  <c r="H55" i="27"/>
  <c r="I55" i="27"/>
  <c r="J55" i="27"/>
  <c r="P55" i="27"/>
  <c r="Q55" i="27"/>
  <c r="R55" i="27"/>
  <c r="G56" i="27"/>
  <c r="H56" i="27"/>
  <c r="I56" i="27"/>
  <c r="J56" i="27"/>
  <c r="P56" i="27"/>
  <c r="Q56" i="27"/>
  <c r="R56" i="27"/>
  <c r="G57" i="27"/>
  <c r="H57" i="27"/>
  <c r="I57" i="27"/>
  <c r="J57" i="27"/>
  <c r="P57" i="27"/>
  <c r="Q57" i="27"/>
  <c r="R57" i="27"/>
  <c r="G58" i="27"/>
  <c r="H58" i="27"/>
  <c r="I58" i="27"/>
  <c r="J58" i="27"/>
  <c r="P58" i="27"/>
  <c r="Q58" i="27"/>
  <c r="R58" i="27"/>
  <c r="G59" i="27"/>
  <c r="H59" i="27"/>
  <c r="I59" i="27"/>
  <c r="J59" i="27"/>
  <c r="P59" i="27"/>
  <c r="Q59" i="27"/>
  <c r="R59" i="27"/>
  <c r="G60" i="27"/>
  <c r="H60" i="27"/>
  <c r="I60" i="27"/>
  <c r="J60" i="27"/>
  <c r="P60" i="27"/>
  <c r="Q60" i="27"/>
  <c r="R60" i="27"/>
  <c r="G61" i="27"/>
  <c r="H61" i="27"/>
  <c r="I61" i="27"/>
  <c r="J61" i="27"/>
  <c r="P61" i="27"/>
  <c r="Q61" i="27"/>
  <c r="R61" i="27"/>
  <c r="G62" i="27"/>
  <c r="H62" i="27"/>
  <c r="I62" i="27"/>
  <c r="J62" i="27"/>
  <c r="P62" i="27"/>
  <c r="Q62" i="27"/>
  <c r="R62" i="27"/>
  <c r="G63" i="27"/>
  <c r="H63" i="27"/>
  <c r="I63" i="27"/>
  <c r="J63" i="27"/>
  <c r="P63" i="27"/>
  <c r="Q63" i="27"/>
  <c r="R63" i="27"/>
  <c r="G64" i="27"/>
  <c r="H64" i="27"/>
  <c r="I64" i="27"/>
  <c r="J64" i="27"/>
  <c r="P64" i="27"/>
  <c r="Q64" i="27"/>
  <c r="R64" i="27"/>
  <c r="G65" i="27"/>
  <c r="H65" i="27"/>
  <c r="I65" i="27"/>
  <c r="J65" i="27"/>
  <c r="P65" i="27"/>
  <c r="Q65" i="27"/>
  <c r="R65" i="27"/>
  <c r="G66" i="27"/>
  <c r="H66" i="27"/>
  <c r="I66" i="27"/>
  <c r="J66" i="27"/>
  <c r="P66" i="27"/>
  <c r="Q66" i="27"/>
  <c r="R66" i="27"/>
  <c r="G67" i="27"/>
  <c r="H67" i="27"/>
  <c r="I67" i="27"/>
  <c r="J67" i="27"/>
  <c r="P67" i="27"/>
  <c r="Q67" i="27"/>
  <c r="R67" i="27"/>
  <c r="G68" i="27"/>
  <c r="H68" i="27"/>
  <c r="I68" i="27"/>
  <c r="J68" i="27"/>
  <c r="P68" i="27"/>
  <c r="Q68" i="27"/>
  <c r="R68" i="27"/>
  <c r="G69" i="27"/>
  <c r="H69" i="27"/>
  <c r="I69" i="27"/>
  <c r="J69" i="27"/>
  <c r="P69" i="27"/>
  <c r="Q69" i="27"/>
  <c r="R69" i="27"/>
  <c r="G70" i="27"/>
  <c r="H70" i="27"/>
  <c r="I70" i="27"/>
  <c r="J70" i="27"/>
  <c r="P70" i="27"/>
  <c r="Q70" i="27"/>
  <c r="R70" i="27"/>
  <c r="G71" i="27"/>
  <c r="H71" i="27"/>
  <c r="I71" i="27"/>
  <c r="J71" i="27"/>
  <c r="P71" i="27"/>
  <c r="Q71" i="27"/>
  <c r="R71" i="27"/>
  <c r="G72" i="27"/>
  <c r="H72" i="27"/>
  <c r="I72" i="27"/>
  <c r="J72" i="27"/>
  <c r="P72" i="27"/>
  <c r="Q72" i="27"/>
  <c r="R72" i="27"/>
  <c r="G73" i="27"/>
  <c r="H73" i="27"/>
  <c r="I73" i="27"/>
  <c r="J73" i="27"/>
  <c r="P73" i="27"/>
  <c r="Q73" i="27"/>
  <c r="R73" i="27"/>
  <c r="G74" i="27"/>
  <c r="H74" i="27"/>
  <c r="I74" i="27"/>
  <c r="J74" i="27"/>
  <c r="P74" i="27"/>
  <c r="Q74" i="27"/>
  <c r="R74" i="27"/>
  <c r="G75" i="27"/>
  <c r="H75" i="27"/>
  <c r="I75" i="27"/>
  <c r="J75" i="27"/>
  <c r="P75" i="27"/>
  <c r="Q75" i="27"/>
  <c r="R75" i="27"/>
  <c r="G76" i="27"/>
  <c r="H76" i="27"/>
  <c r="I76" i="27"/>
  <c r="J76" i="27"/>
  <c r="P76" i="27"/>
  <c r="Q76" i="27"/>
  <c r="R76" i="27"/>
  <c r="G77" i="27"/>
  <c r="H77" i="27"/>
  <c r="I77" i="27"/>
  <c r="J77" i="27"/>
  <c r="P77" i="27"/>
  <c r="Q77" i="27"/>
  <c r="R77" i="27"/>
  <c r="G78" i="27"/>
  <c r="H78" i="27"/>
  <c r="I78" i="27"/>
  <c r="J78" i="27"/>
  <c r="P78" i="27"/>
  <c r="Q78" i="27"/>
  <c r="R78" i="27"/>
  <c r="G79" i="27"/>
  <c r="H79" i="27"/>
  <c r="I79" i="27"/>
  <c r="J79" i="27"/>
  <c r="P79" i="27"/>
  <c r="Q79" i="27"/>
  <c r="R79" i="27"/>
  <c r="G80" i="27"/>
  <c r="H80" i="27"/>
  <c r="I80" i="27"/>
  <c r="J80" i="27"/>
  <c r="P80" i="27"/>
  <c r="Q80" i="27"/>
  <c r="R80" i="27"/>
  <c r="G81" i="27"/>
  <c r="H81" i="27"/>
  <c r="I81" i="27"/>
  <c r="J81" i="27"/>
  <c r="P81" i="27"/>
  <c r="Q81" i="27"/>
  <c r="R81" i="27"/>
  <c r="G82" i="27"/>
  <c r="H82" i="27"/>
  <c r="I82" i="27"/>
  <c r="J82" i="27"/>
  <c r="P82" i="27"/>
  <c r="Q82" i="27"/>
  <c r="R82" i="27"/>
  <c r="G83" i="27"/>
  <c r="H83" i="27"/>
  <c r="I83" i="27"/>
  <c r="J83" i="27"/>
  <c r="P83" i="27"/>
  <c r="Q83" i="27"/>
  <c r="R83" i="27"/>
  <c r="G84" i="27"/>
  <c r="H84" i="27"/>
  <c r="I84" i="27"/>
  <c r="J84" i="27"/>
  <c r="P84" i="27"/>
  <c r="Q84" i="27"/>
  <c r="R84" i="27"/>
  <c r="G85" i="27"/>
  <c r="H85" i="27"/>
  <c r="I85" i="27"/>
  <c r="J85" i="27"/>
  <c r="P85" i="27"/>
  <c r="Q85" i="27"/>
  <c r="R85" i="27"/>
  <c r="G86" i="27"/>
  <c r="H86" i="27"/>
  <c r="I86" i="27"/>
  <c r="J86" i="27"/>
  <c r="P86" i="27"/>
  <c r="Q86" i="27"/>
  <c r="R86" i="27"/>
  <c r="G87" i="27"/>
  <c r="H87" i="27"/>
  <c r="I87" i="27"/>
  <c r="J87" i="27"/>
  <c r="P87" i="27"/>
  <c r="Q87" i="27"/>
  <c r="R87" i="27"/>
  <c r="G88" i="27"/>
  <c r="H88" i="27"/>
  <c r="I88" i="27"/>
  <c r="J88" i="27"/>
  <c r="P88" i="27"/>
  <c r="Q88" i="27"/>
  <c r="R88" i="27"/>
  <c r="G89" i="27"/>
  <c r="H89" i="27"/>
  <c r="I89" i="27"/>
  <c r="J89" i="27"/>
  <c r="P89" i="27"/>
  <c r="Q89" i="27"/>
  <c r="R89" i="27"/>
  <c r="G90" i="27"/>
  <c r="H90" i="27"/>
  <c r="I90" i="27"/>
  <c r="J90" i="27"/>
  <c r="P90" i="27"/>
  <c r="Q90" i="27"/>
  <c r="R90" i="27"/>
  <c r="G91" i="27"/>
  <c r="H91" i="27"/>
  <c r="I91" i="27"/>
  <c r="J91" i="27"/>
  <c r="P91" i="27"/>
  <c r="Q91" i="27"/>
  <c r="R91" i="27"/>
  <c r="G92" i="27"/>
  <c r="H92" i="27"/>
  <c r="I92" i="27"/>
  <c r="J92" i="27"/>
  <c r="P92" i="27"/>
  <c r="Q92" i="27"/>
  <c r="R92" i="27"/>
  <c r="G93" i="27"/>
  <c r="H93" i="27"/>
  <c r="I93" i="27"/>
  <c r="J93" i="27"/>
  <c r="P93" i="27"/>
  <c r="Q93" i="27"/>
  <c r="R93" i="27"/>
  <c r="G94" i="27"/>
  <c r="H94" i="27"/>
  <c r="I94" i="27"/>
  <c r="J94" i="27"/>
  <c r="P94" i="27"/>
  <c r="Q94" i="27"/>
  <c r="R94" i="27"/>
  <c r="G95" i="27"/>
  <c r="H95" i="27"/>
  <c r="I95" i="27"/>
  <c r="J95" i="27"/>
  <c r="P95" i="27"/>
  <c r="Q95" i="27"/>
  <c r="R95" i="27"/>
  <c r="G96" i="27"/>
  <c r="H96" i="27"/>
  <c r="I96" i="27"/>
  <c r="J96" i="27"/>
  <c r="P96" i="27"/>
  <c r="Q96" i="27"/>
  <c r="R96" i="27"/>
  <c r="G97" i="27"/>
  <c r="H97" i="27"/>
  <c r="I97" i="27"/>
  <c r="J97" i="27"/>
  <c r="P97" i="27"/>
  <c r="Q97" i="27"/>
  <c r="R97" i="27"/>
  <c r="G98" i="27"/>
  <c r="H98" i="27"/>
  <c r="I98" i="27"/>
  <c r="J98" i="27"/>
  <c r="P98" i="27"/>
  <c r="Q98" i="27"/>
  <c r="R98" i="27"/>
  <c r="G99" i="27"/>
  <c r="H99" i="27"/>
  <c r="I99" i="27"/>
  <c r="J99" i="27"/>
  <c r="P99" i="27"/>
  <c r="Q99" i="27"/>
  <c r="R99" i="27"/>
  <c r="G100" i="27"/>
  <c r="H100" i="27"/>
  <c r="I100" i="27"/>
  <c r="J100" i="27"/>
  <c r="P100" i="27"/>
  <c r="Q100" i="27"/>
  <c r="R100" i="27"/>
  <c r="G101" i="27"/>
  <c r="H101" i="27"/>
  <c r="I101" i="27"/>
  <c r="J101" i="27"/>
  <c r="P101" i="27"/>
  <c r="Q101" i="27"/>
  <c r="R101" i="27"/>
  <c r="G102" i="27"/>
  <c r="H102" i="27"/>
  <c r="I102" i="27"/>
  <c r="J102" i="27"/>
  <c r="P102" i="27"/>
  <c r="Q102" i="27"/>
  <c r="R102" i="27"/>
  <c r="G103" i="27"/>
  <c r="H103" i="27"/>
  <c r="I103" i="27"/>
  <c r="J103" i="27"/>
  <c r="P103" i="27"/>
  <c r="Q103" i="27"/>
  <c r="R103" i="27"/>
  <c r="G104" i="27"/>
  <c r="H104" i="27"/>
  <c r="I104" i="27"/>
  <c r="J104" i="27"/>
  <c r="P104" i="27"/>
  <c r="Q104" i="27"/>
  <c r="R104" i="27"/>
  <c r="G105" i="27"/>
  <c r="H105" i="27"/>
  <c r="I105" i="27"/>
  <c r="J105" i="27"/>
  <c r="P105" i="27"/>
  <c r="Q105" i="27"/>
  <c r="R105" i="27"/>
  <c r="G106" i="27"/>
  <c r="H106" i="27"/>
  <c r="I106" i="27"/>
  <c r="J106" i="27"/>
  <c r="P106" i="27"/>
  <c r="Q106" i="27"/>
  <c r="R106" i="27"/>
  <c r="G107" i="27"/>
  <c r="H107" i="27"/>
  <c r="I107" i="27"/>
  <c r="J107" i="27"/>
  <c r="P107" i="27"/>
  <c r="Q107" i="27"/>
  <c r="R107" i="27"/>
  <c r="G108" i="27"/>
  <c r="H108" i="27"/>
  <c r="I108" i="27"/>
  <c r="J108" i="27"/>
  <c r="P108" i="27"/>
  <c r="Q108" i="27"/>
  <c r="R108" i="27"/>
  <c r="G109" i="27"/>
  <c r="H109" i="27"/>
  <c r="I109" i="27"/>
  <c r="J109" i="27"/>
  <c r="P109" i="27"/>
  <c r="Q109" i="27"/>
  <c r="R109" i="27"/>
  <c r="G110" i="27"/>
  <c r="H110" i="27"/>
  <c r="I110" i="27"/>
  <c r="J110" i="27"/>
  <c r="P110" i="27"/>
  <c r="Q110" i="27"/>
  <c r="R110" i="27"/>
  <c r="G111" i="27"/>
  <c r="H111" i="27"/>
  <c r="I111" i="27"/>
  <c r="J111" i="27"/>
  <c r="P111" i="27"/>
  <c r="Q111" i="27"/>
  <c r="R111" i="27"/>
  <c r="G112" i="27"/>
  <c r="H112" i="27"/>
  <c r="I112" i="27"/>
  <c r="J112" i="27"/>
  <c r="P112" i="27"/>
  <c r="Q112" i="27"/>
  <c r="R112" i="27"/>
  <c r="G113" i="27"/>
  <c r="H113" i="27"/>
  <c r="I113" i="27"/>
  <c r="J113" i="27"/>
  <c r="P113" i="27"/>
  <c r="Q113" i="27"/>
  <c r="R113" i="27"/>
  <c r="G114" i="27"/>
  <c r="H114" i="27"/>
  <c r="I114" i="27"/>
  <c r="J114" i="27"/>
  <c r="P114" i="27"/>
  <c r="Q114" i="27"/>
  <c r="R114" i="27"/>
  <c r="G115" i="27"/>
  <c r="H115" i="27"/>
  <c r="I115" i="27"/>
  <c r="J115" i="27"/>
  <c r="P115" i="27"/>
  <c r="Q115" i="27"/>
  <c r="R115" i="27"/>
  <c r="G116" i="27"/>
  <c r="H116" i="27"/>
  <c r="I116" i="27"/>
  <c r="J116" i="27"/>
  <c r="P116" i="27"/>
  <c r="Q116" i="27"/>
  <c r="R116" i="27"/>
  <c r="G117" i="27"/>
  <c r="H117" i="27"/>
  <c r="I117" i="27"/>
  <c r="J117" i="27"/>
  <c r="P117" i="27"/>
  <c r="Q117" i="27"/>
  <c r="R117" i="27"/>
  <c r="G118" i="27"/>
  <c r="H118" i="27"/>
  <c r="I118" i="27"/>
  <c r="J118" i="27"/>
  <c r="P118" i="27"/>
  <c r="Q118" i="27"/>
  <c r="R118" i="27"/>
  <c r="G119" i="27"/>
  <c r="H119" i="27"/>
  <c r="I119" i="27"/>
  <c r="J119" i="27"/>
  <c r="P119" i="27"/>
  <c r="Q119" i="27"/>
  <c r="R119" i="27"/>
  <c r="G120" i="27"/>
  <c r="H120" i="27"/>
  <c r="I120" i="27"/>
  <c r="J120" i="27"/>
  <c r="P120" i="27"/>
  <c r="Q120" i="27"/>
  <c r="R120" i="27"/>
  <c r="G121" i="27"/>
  <c r="H121" i="27"/>
  <c r="I121" i="27"/>
  <c r="J121" i="27"/>
  <c r="P121" i="27"/>
  <c r="Q121" i="27"/>
  <c r="R121" i="27"/>
  <c r="G122" i="27"/>
  <c r="H122" i="27"/>
  <c r="I122" i="27"/>
  <c r="J122" i="27"/>
  <c r="P122" i="27"/>
  <c r="Q122" i="27"/>
  <c r="R122" i="27"/>
  <c r="G123" i="27"/>
  <c r="H123" i="27"/>
  <c r="I123" i="27"/>
  <c r="J123" i="27"/>
  <c r="P123" i="27"/>
  <c r="Q123" i="27"/>
  <c r="R123" i="27"/>
  <c r="G124" i="27"/>
  <c r="H124" i="27"/>
  <c r="I124" i="27"/>
  <c r="J124" i="27"/>
  <c r="P124" i="27"/>
  <c r="Q124" i="27"/>
  <c r="R124" i="27"/>
  <c r="G125" i="27"/>
  <c r="H125" i="27"/>
  <c r="I125" i="27"/>
  <c r="J125" i="27"/>
  <c r="P125" i="27"/>
  <c r="Q125" i="27"/>
  <c r="R125" i="27"/>
  <c r="G126" i="27"/>
  <c r="H126" i="27"/>
  <c r="I126" i="27"/>
  <c r="J126" i="27"/>
  <c r="P126" i="27"/>
  <c r="Q126" i="27"/>
  <c r="R126" i="27"/>
  <c r="G127" i="27"/>
  <c r="H127" i="27"/>
  <c r="I127" i="27"/>
  <c r="J127" i="27"/>
  <c r="P127" i="27"/>
  <c r="Q127" i="27"/>
  <c r="R127" i="27"/>
  <c r="G128" i="27"/>
  <c r="H128" i="27"/>
  <c r="I128" i="27"/>
  <c r="J128" i="27"/>
  <c r="P128" i="27"/>
  <c r="Q128" i="27"/>
  <c r="R128" i="27"/>
  <c r="G129" i="27"/>
  <c r="H129" i="27"/>
  <c r="I129" i="27"/>
  <c r="J129" i="27"/>
  <c r="P129" i="27"/>
  <c r="Q129" i="27"/>
  <c r="R129" i="27"/>
  <c r="AD3" i="27"/>
  <c r="AE3" i="27"/>
  <c r="AF3" i="27"/>
  <c r="AG3" i="27"/>
  <c r="AH3" i="27"/>
  <c r="AI3" i="27"/>
  <c r="AJ3" i="27"/>
  <c r="AK3" i="27"/>
  <c r="AL3" i="27"/>
  <c r="AM3" i="27"/>
  <c r="AN3" i="27"/>
  <c r="AO3" i="27"/>
  <c r="AP3" i="27"/>
  <c r="AQ3" i="27"/>
  <c r="AR3" i="27"/>
  <c r="AS3" i="27"/>
  <c r="AT3" i="27"/>
  <c r="AU3" i="27"/>
  <c r="AV3" i="27"/>
  <c r="AD4" i="27"/>
  <c r="AE4" i="27"/>
  <c r="AF4" i="27"/>
  <c r="AG4" i="27"/>
  <c r="AH4" i="27"/>
  <c r="AI4" i="27"/>
  <c r="AJ4" i="27"/>
  <c r="AK4" i="27"/>
  <c r="AL4" i="27"/>
  <c r="AM4" i="27"/>
  <c r="AN4" i="27"/>
  <c r="AO4" i="27"/>
  <c r="AP4" i="27"/>
  <c r="AQ4" i="27"/>
  <c r="AR4" i="27"/>
  <c r="AS4" i="27"/>
  <c r="AT4" i="27"/>
  <c r="AU4" i="27"/>
  <c r="AV4" i="27"/>
  <c r="AD5" i="27"/>
  <c r="AE5" i="27"/>
  <c r="AF5" i="27"/>
  <c r="AG5" i="27"/>
  <c r="AH5" i="27"/>
  <c r="AI5" i="27"/>
  <c r="AJ5" i="27"/>
  <c r="AK5" i="27"/>
  <c r="AL5" i="27"/>
  <c r="AM5" i="27"/>
  <c r="AN5" i="27"/>
  <c r="AO5" i="27"/>
  <c r="AP5" i="27"/>
  <c r="AQ5" i="27"/>
  <c r="AR5" i="27"/>
  <c r="AS5" i="27"/>
  <c r="AT5" i="27"/>
  <c r="AU5" i="27"/>
  <c r="AV5" i="27"/>
  <c r="AD6" i="27"/>
  <c r="AE6" i="27"/>
  <c r="AF6" i="27"/>
  <c r="AG6" i="27"/>
  <c r="AH6" i="27"/>
  <c r="AI6" i="27"/>
  <c r="AJ6" i="27"/>
  <c r="AK6" i="27"/>
  <c r="AL6" i="27"/>
  <c r="AM6" i="27"/>
  <c r="AN6" i="27"/>
  <c r="AO6" i="27"/>
  <c r="AP6" i="27"/>
  <c r="AQ6" i="27"/>
  <c r="AR6" i="27"/>
  <c r="AS6" i="27"/>
  <c r="AT6" i="27"/>
  <c r="AU6" i="27"/>
  <c r="AV6" i="27"/>
  <c r="AD7" i="27"/>
  <c r="AE7" i="27"/>
  <c r="AF7" i="27"/>
  <c r="AG7" i="27"/>
  <c r="AH7" i="27"/>
  <c r="AI7" i="27"/>
  <c r="AJ7" i="27"/>
  <c r="AK7" i="27"/>
  <c r="AL7" i="27"/>
  <c r="AM7" i="27"/>
  <c r="AN7" i="27"/>
  <c r="AO7" i="27"/>
  <c r="AP7" i="27"/>
  <c r="AQ7" i="27"/>
  <c r="AR7" i="27"/>
  <c r="AS7" i="27"/>
  <c r="AT7" i="27"/>
  <c r="AU7" i="27"/>
  <c r="AV7" i="27"/>
  <c r="AD8" i="27"/>
  <c r="AE8" i="27"/>
  <c r="AF8" i="27"/>
  <c r="AG8" i="27"/>
  <c r="AH8" i="27"/>
  <c r="AI8" i="27"/>
  <c r="AJ8" i="27"/>
  <c r="AK8" i="27"/>
  <c r="AL8" i="27"/>
  <c r="AM8" i="27"/>
  <c r="AN8" i="27"/>
  <c r="AO8" i="27"/>
  <c r="AP8" i="27"/>
  <c r="AQ8" i="27"/>
  <c r="AR8" i="27"/>
  <c r="AS8" i="27"/>
  <c r="AT8" i="27"/>
  <c r="AU8" i="27"/>
  <c r="AV8" i="27"/>
  <c r="AD9" i="27"/>
  <c r="AE9" i="27"/>
  <c r="AF9" i="27"/>
  <c r="AG9" i="27"/>
  <c r="AH9" i="27"/>
  <c r="AI9" i="27"/>
  <c r="AJ9" i="27"/>
  <c r="AK9" i="27"/>
  <c r="AL9" i="27"/>
  <c r="AM9" i="27"/>
  <c r="AN9" i="27"/>
  <c r="AO9" i="27"/>
  <c r="AP9" i="27"/>
  <c r="AQ9" i="27"/>
  <c r="AR9" i="27"/>
  <c r="AS9" i="27"/>
  <c r="AT9" i="27"/>
  <c r="AU9" i="27"/>
  <c r="AV9" i="27"/>
  <c r="AD10" i="27"/>
  <c r="AE10" i="27"/>
  <c r="AF10" i="27"/>
  <c r="AG10" i="27"/>
  <c r="AH10" i="27"/>
  <c r="AI10" i="27"/>
  <c r="AJ10" i="27"/>
  <c r="AK10" i="27"/>
  <c r="AL10" i="27"/>
  <c r="AM10" i="27"/>
  <c r="AN10" i="27"/>
  <c r="AO10" i="27"/>
  <c r="AP10" i="27"/>
  <c r="AQ10" i="27"/>
  <c r="AR10" i="27"/>
  <c r="AB10" i="27" s="1"/>
  <c r="AS10" i="27"/>
  <c r="AT10" i="27"/>
  <c r="AU10" i="27"/>
  <c r="AV10" i="27"/>
  <c r="AD11" i="27"/>
  <c r="AE11" i="27"/>
  <c r="AF11" i="27"/>
  <c r="AG11" i="27"/>
  <c r="AH11" i="27"/>
  <c r="AI11" i="27"/>
  <c r="AJ11" i="27"/>
  <c r="AK11" i="27"/>
  <c r="AL11" i="27"/>
  <c r="AM11" i="27"/>
  <c r="AN11" i="27"/>
  <c r="AO11" i="27"/>
  <c r="AP11" i="27"/>
  <c r="AQ11" i="27"/>
  <c r="AR11" i="27"/>
  <c r="AS11" i="27"/>
  <c r="AT11" i="27"/>
  <c r="AU11" i="27"/>
  <c r="AV11" i="27"/>
  <c r="AD12" i="27"/>
  <c r="AE12" i="27"/>
  <c r="AF12" i="27"/>
  <c r="AG12" i="27"/>
  <c r="AH12" i="27"/>
  <c r="AI12" i="27"/>
  <c r="AJ12" i="27"/>
  <c r="AK12" i="27"/>
  <c r="AL12" i="27"/>
  <c r="AM12" i="27"/>
  <c r="AN12" i="27"/>
  <c r="AO12" i="27"/>
  <c r="AP12" i="27"/>
  <c r="AQ12" i="27"/>
  <c r="AR12" i="27"/>
  <c r="AS12" i="27"/>
  <c r="AT12" i="27"/>
  <c r="AU12" i="27"/>
  <c r="AV12" i="27"/>
  <c r="AD13" i="27"/>
  <c r="AE13" i="27"/>
  <c r="AF13" i="27"/>
  <c r="AG13" i="27"/>
  <c r="AH13" i="27"/>
  <c r="AI13" i="27"/>
  <c r="AJ13" i="27"/>
  <c r="AK13" i="27"/>
  <c r="AL13" i="27"/>
  <c r="AM13" i="27"/>
  <c r="AN13" i="27"/>
  <c r="AO13" i="27"/>
  <c r="AP13" i="27"/>
  <c r="AQ13" i="27"/>
  <c r="AR13" i="27"/>
  <c r="AS13" i="27"/>
  <c r="AT13" i="27"/>
  <c r="AU13" i="27"/>
  <c r="AV13" i="27"/>
  <c r="AD14" i="27"/>
  <c r="AE14" i="27"/>
  <c r="AF14" i="27"/>
  <c r="AG14" i="27"/>
  <c r="AH14" i="27"/>
  <c r="AI14" i="27"/>
  <c r="AJ14" i="27"/>
  <c r="AK14" i="27"/>
  <c r="AL14" i="27"/>
  <c r="AM14" i="27"/>
  <c r="AN14" i="27"/>
  <c r="AO14" i="27"/>
  <c r="AP14" i="27"/>
  <c r="AQ14" i="27"/>
  <c r="AR14" i="27"/>
  <c r="AS14" i="27"/>
  <c r="AT14" i="27"/>
  <c r="AC14" i="27" s="1"/>
  <c r="AU14" i="27"/>
  <c r="AV14" i="27"/>
  <c r="AD15" i="27"/>
  <c r="AE15" i="27"/>
  <c r="AF15" i="27"/>
  <c r="AG15" i="27"/>
  <c r="AH15" i="27"/>
  <c r="AI15" i="27"/>
  <c r="AJ15" i="27"/>
  <c r="AK15" i="27"/>
  <c r="AL15" i="27"/>
  <c r="AM15" i="27"/>
  <c r="AN15" i="27"/>
  <c r="AO15" i="27"/>
  <c r="AP15" i="27"/>
  <c r="AQ15" i="27"/>
  <c r="AR15" i="27"/>
  <c r="AS15" i="27"/>
  <c r="AT15" i="27"/>
  <c r="AU15" i="27"/>
  <c r="AV15" i="27"/>
  <c r="AD16" i="27"/>
  <c r="AE16" i="27"/>
  <c r="AF16" i="27"/>
  <c r="AG16" i="27"/>
  <c r="AH16" i="27"/>
  <c r="AI16" i="27"/>
  <c r="AJ16" i="27"/>
  <c r="AK16" i="27"/>
  <c r="AL16" i="27"/>
  <c r="AM16" i="27"/>
  <c r="AN16" i="27"/>
  <c r="AO16" i="27"/>
  <c r="AP16" i="27"/>
  <c r="AQ16" i="27"/>
  <c r="AR16" i="27"/>
  <c r="AS16" i="27"/>
  <c r="AT16" i="27"/>
  <c r="AU16" i="27"/>
  <c r="AV16" i="27"/>
  <c r="AD17" i="27"/>
  <c r="AE17" i="27"/>
  <c r="AF17" i="27"/>
  <c r="AG17" i="27"/>
  <c r="AH17" i="27"/>
  <c r="AI17" i="27"/>
  <c r="AJ17" i="27"/>
  <c r="AK17" i="27"/>
  <c r="AL17" i="27"/>
  <c r="AM17" i="27"/>
  <c r="AN17" i="27"/>
  <c r="AO17" i="27"/>
  <c r="AP17" i="27"/>
  <c r="AQ17" i="27"/>
  <c r="AR17" i="27"/>
  <c r="AS17" i="27"/>
  <c r="AT17" i="27"/>
  <c r="AU17" i="27"/>
  <c r="AV17" i="27"/>
  <c r="AD18" i="27"/>
  <c r="AE18" i="27"/>
  <c r="AF18" i="27"/>
  <c r="AG18" i="27"/>
  <c r="AH18" i="27"/>
  <c r="AI18" i="27"/>
  <c r="AJ18" i="27"/>
  <c r="AK18" i="27"/>
  <c r="AL18" i="27"/>
  <c r="AM18" i="27"/>
  <c r="AN18" i="27"/>
  <c r="AO18" i="27"/>
  <c r="AP18" i="27"/>
  <c r="AQ18" i="27"/>
  <c r="AR18" i="27"/>
  <c r="AS18" i="27"/>
  <c r="AT18" i="27"/>
  <c r="AU18" i="27"/>
  <c r="AV18" i="27"/>
  <c r="AD19" i="27"/>
  <c r="AE19" i="27"/>
  <c r="AF19" i="27"/>
  <c r="AG19" i="27"/>
  <c r="AH19" i="27"/>
  <c r="AI19" i="27"/>
  <c r="AJ19" i="27"/>
  <c r="AK19" i="27"/>
  <c r="AL19" i="27"/>
  <c r="AM19" i="27"/>
  <c r="AN19" i="27"/>
  <c r="AO19" i="27"/>
  <c r="AP19" i="27"/>
  <c r="AQ19" i="27"/>
  <c r="AR19" i="27"/>
  <c r="AS19" i="27"/>
  <c r="AT19" i="27"/>
  <c r="AU19" i="27"/>
  <c r="AV19" i="27"/>
  <c r="AD20" i="27"/>
  <c r="AE20" i="27"/>
  <c r="AF20" i="27"/>
  <c r="AG20" i="27"/>
  <c r="AH20" i="27"/>
  <c r="AI20" i="27"/>
  <c r="AJ20" i="27"/>
  <c r="AK20" i="27"/>
  <c r="AL20" i="27"/>
  <c r="AM20" i="27"/>
  <c r="AN20" i="27"/>
  <c r="AO20" i="27"/>
  <c r="AP20" i="27"/>
  <c r="AQ20" i="27"/>
  <c r="AR20" i="27"/>
  <c r="AS20" i="27"/>
  <c r="AT20" i="27"/>
  <c r="AU20" i="27"/>
  <c r="AV20" i="27"/>
  <c r="AD21" i="27"/>
  <c r="AE21" i="27"/>
  <c r="AF21" i="27"/>
  <c r="AG21" i="27"/>
  <c r="AH21" i="27"/>
  <c r="AI21" i="27"/>
  <c r="AJ21" i="27"/>
  <c r="AK21" i="27"/>
  <c r="AL21" i="27"/>
  <c r="AM21" i="27"/>
  <c r="AN21" i="27"/>
  <c r="AO21" i="27"/>
  <c r="AP21" i="27"/>
  <c r="AQ21" i="27"/>
  <c r="AR21" i="27"/>
  <c r="AS21" i="27"/>
  <c r="AT21" i="27"/>
  <c r="AU21" i="27"/>
  <c r="AV21" i="27"/>
  <c r="AD22" i="27"/>
  <c r="AE22" i="27"/>
  <c r="AF22" i="27"/>
  <c r="AG22" i="27"/>
  <c r="AH22" i="27"/>
  <c r="AI22" i="27"/>
  <c r="AJ22" i="27"/>
  <c r="AK22" i="27"/>
  <c r="AL22" i="27"/>
  <c r="AM22" i="27"/>
  <c r="AN22" i="27"/>
  <c r="AO22" i="27"/>
  <c r="AP22" i="27"/>
  <c r="AQ22" i="27"/>
  <c r="AR22" i="27"/>
  <c r="AS22" i="27"/>
  <c r="AT22" i="27"/>
  <c r="AU22" i="27"/>
  <c r="AV22" i="27"/>
  <c r="AD23" i="27"/>
  <c r="AE23" i="27"/>
  <c r="AF23" i="27"/>
  <c r="AG23" i="27"/>
  <c r="AH23" i="27"/>
  <c r="AI23" i="27"/>
  <c r="AJ23" i="27"/>
  <c r="AK23" i="27"/>
  <c r="AL23" i="27"/>
  <c r="AM23" i="27"/>
  <c r="AN23" i="27"/>
  <c r="AO23" i="27"/>
  <c r="AP23" i="27"/>
  <c r="AQ23" i="27"/>
  <c r="AR23" i="27"/>
  <c r="AS23" i="27"/>
  <c r="AT23" i="27"/>
  <c r="AU23" i="27"/>
  <c r="AV23" i="27"/>
  <c r="AD24" i="27"/>
  <c r="AE24" i="27"/>
  <c r="AF24" i="27"/>
  <c r="AG24" i="27"/>
  <c r="AH24" i="27"/>
  <c r="AI24" i="27"/>
  <c r="AJ24" i="27"/>
  <c r="AK24" i="27"/>
  <c r="AL24" i="27"/>
  <c r="AM24" i="27"/>
  <c r="AN24" i="27"/>
  <c r="AO24" i="27"/>
  <c r="AP24" i="27"/>
  <c r="AQ24" i="27"/>
  <c r="AR24" i="27"/>
  <c r="AS24" i="27"/>
  <c r="AT24" i="27"/>
  <c r="AU24" i="27"/>
  <c r="AV24" i="27"/>
  <c r="AD25" i="27"/>
  <c r="AE25" i="27"/>
  <c r="AF25" i="27"/>
  <c r="AG25" i="27"/>
  <c r="AH25" i="27"/>
  <c r="AI25" i="27"/>
  <c r="AJ25" i="27"/>
  <c r="AK25" i="27"/>
  <c r="AL25" i="27"/>
  <c r="AM25" i="27"/>
  <c r="AN25" i="27"/>
  <c r="AO25" i="27"/>
  <c r="AP25" i="27"/>
  <c r="AQ25" i="27"/>
  <c r="AR25" i="27"/>
  <c r="AS25" i="27"/>
  <c r="AT25" i="27"/>
  <c r="AU25" i="27"/>
  <c r="AV25" i="27"/>
  <c r="AD26" i="27"/>
  <c r="AE26" i="27"/>
  <c r="AF26" i="27"/>
  <c r="AG26" i="27"/>
  <c r="AH26" i="27"/>
  <c r="AI26" i="27"/>
  <c r="AJ26" i="27"/>
  <c r="AK26" i="27"/>
  <c r="AL26" i="27"/>
  <c r="AM26" i="27"/>
  <c r="AN26" i="27"/>
  <c r="AO26" i="27"/>
  <c r="AP26" i="27"/>
  <c r="AQ26" i="27"/>
  <c r="AR26" i="27"/>
  <c r="AS26" i="27"/>
  <c r="AT26" i="27"/>
  <c r="AU26" i="27"/>
  <c r="AV26" i="27"/>
  <c r="AD27" i="27"/>
  <c r="AE27" i="27"/>
  <c r="AF27" i="27"/>
  <c r="AG27" i="27"/>
  <c r="AH27" i="27"/>
  <c r="AI27" i="27"/>
  <c r="AJ27" i="27"/>
  <c r="AK27" i="27"/>
  <c r="AL27" i="27"/>
  <c r="AM27" i="27"/>
  <c r="AN27" i="27"/>
  <c r="AO27" i="27"/>
  <c r="AP27" i="27"/>
  <c r="AQ27" i="27"/>
  <c r="AR27" i="27"/>
  <c r="AS27" i="27"/>
  <c r="AT27" i="27"/>
  <c r="AU27" i="27"/>
  <c r="AV27" i="27"/>
  <c r="AD28" i="27"/>
  <c r="AE28" i="27"/>
  <c r="AF28" i="27"/>
  <c r="AG28" i="27"/>
  <c r="AH28" i="27"/>
  <c r="AI28" i="27"/>
  <c r="AJ28" i="27"/>
  <c r="AK28" i="27"/>
  <c r="AL28" i="27"/>
  <c r="AM28" i="27"/>
  <c r="AN28" i="27"/>
  <c r="AO28" i="27"/>
  <c r="AP28" i="27"/>
  <c r="AQ28" i="27"/>
  <c r="AR28" i="27"/>
  <c r="AS28" i="27"/>
  <c r="AT28" i="27"/>
  <c r="AU28" i="27"/>
  <c r="AV28" i="27"/>
  <c r="AD29" i="27"/>
  <c r="AE29" i="27"/>
  <c r="AF29" i="27"/>
  <c r="AG29" i="27"/>
  <c r="AH29" i="27"/>
  <c r="AI29" i="27"/>
  <c r="AJ29" i="27"/>
  <c r="AK29" i="27"/>
  <c r="AL29" i="27"/>
  <c r="AM29" i="27"/>
  <c r="AN29" i="27"/>
  <c r="AO29" i="27"/>
  <c r="AP29" i="27"/>
  <c r="AQ29" i="27"/>
  <c r="AR29" i="27"/>
  <c r="AS29" i="27"/>
  <c r="AT29" i="27"/>
  <c r="AU29" i="27"/>
  <c r="AV29" i="27"/>
  <c r="AD30" i="27"/>
  <c r="AE30" i="27"/>
  <c r="AF30" i="27"/>
  <c r="AG30" i="27"/>
  <c r="AH30" i="27"/>
  <c r="AI30" i="27"/>
  <c r="AJ30" i="27"/>
  <c r="AK30" i="27"/>
  <c r="AL30" i="27"/>
  <c r="AM30" i="27"/>
  <c r="AN30" i="27"/>
  <c r="AO30" i="27"/>
  <c r="AP30" i="27"/>
  <c r="AQ30" i="27"/>
  <c r="AR30" i="27"/>
  <c r="AS30" i="27"/>
  <c r="AT30" i="27"/>
  <c r="AU30" i="27"/>
  <c r="AV30" i="27"/>
  <c r="AD31" i="27"/>
  <c r="AE31" i="27"/>
  <c r="AF31" i="27"/>
  <c r="AG31" i="27"/>
  <c r="AH31" i="27"/>
  <c r="AI31" i="27"/>
  <c r="AJ31" i="27"/>
  <c r="AK31" i="27"/>
  <c r="AL31" i="27"/>
  <c r="AM31" i="27"/>
  <c r="AN31" i="27"/>
  <c r="AO31" i="27"/>
  <c r="AP31" i="27"/>
  <c r="AQ31" i="27"/>
  <c r="AR31" i="27"/>
  <c r="AS31" i="27"/>
  <c r="AT31" i="27"/>
  <c r="AU31" i="27"/>
  <c r="AV31" i="27"/>
  <c r="AD32" i="27"/>
  <c r="AE32" i="27"/>
  <c r="AF32" i="27"/>
  <c r="AG32" i="27"/>
  <c r="AH32" i="27"/>
  <c r="AI32" i="27"/>
  <c r="AJ32" i="27"/>
  <c r="AK32" i="27"/>
  <c r="AL32" i="27"/>
  <c r="AM32" i="27"/>
  <c r="AN32" i="27"/>
  <c r="AO32" i="27"/>
  <c r="AP32" i="27"/>
  <c r="AQ32" i="27"/>
  <c r="AR32" i="27"/>
  <c r="AS32" i="27"/>
  <c r="AT32" i="27"/>
  <c r="AU32" i="27"/>
  <c r="AV32" i="27"/>
  <c r="AD33" i="27"/>
  <c r="AE33" i="27"/>
  <c r="AF33" i="27"/>
  <c r="AG33" i="27"/>
  <c r="AH33" i="27"/>
  <c r="AI33" i="27"/>
  <c r="AJ33" i="27"/>
  <c r="AK33" i="27"/>
  <c r="AL33" i="27"/>
  <c r="AM33" i="27"/>
  <c r="AN33" i="27"/>
  <c r="AO33" i="27"/>
  <c r="AP33" i="27"/>
  <c r="AQ33" i="27"/>
  <c r="AR33" i="27"/>
  <c r="AS33" i="27"/>
  <c r="AT33" i="27"/>
  <c r="AU33" i="27"/>
  <c r="AV33" i="27"/>
  <c r="AD34" i="27"/>
  <c r="AE34" i="27"/>
  <c r="AF34" i="27"/>
  <c r="AG34" i="27"/>
  <c r="AH34" i="27"/>
  <c r="AI34" i="27"/>
  <c r="AJ34" i="27"/>
  <c r="AK34" i="27"/>
  <c r="AL34" i="27"/>
  <c r="AM34" i="27"/>
  <c r="AN34" i="27"/>
  <c r="AO34" i="27"/>
  <c r="AP34" i="27"/>
  <c r="AQ34" i="27"/>
  <c r="AR34" i="27"/>
  <c r="AS34" i="27"/>
  <c r="AT34" i="27"/>
  <c r="AU34" i="27"/>
  <c r="AV34" i="27"/>
  <c r="AD35" i="27"/>
  <c r="AE35" i="27"/>
  <c r="AF35" i="27"/>
  <c r="AG35" i="27"/>
  <c r="AH35" i="27"/>
  <c r="AI35" i="27"/>
  <c r="AJ35" i="27"/>
  <c r="AK35" i="27"/>
  <c r="AL35" i="27"/>
  <c r="AM35" i="27"/>
  <c r="AN35" i="27"/>
  <c r="AO35" i="27"/>
  <c r="AP35" i="27"/>
  <c r="AQ35" i="27"/>
  <c r="AR35" i="27"/>
  <c r="AS35" i="27"/>
  <c r="AT35" i="27"/>
  <c r="AU35" i="27"/>
  <c r="AV35" i="27"/>
  <c r="AD36" i="27"/>
  <c r="AE36" i="27"/>
  <c r="AF36" i="27"/>
  <c r="AG36" i="27"/>
  <c r="AH36" i="27"/>
  <c r="AI36" i="27"/>
  <c r="AJ36" i="27"/>
  <c r="AK36" i="27"/>
  <c r="AL36" i="27"/>
  <c r="AM36" i="27"/>
  <c r="AN36" i="27"/>
  <c r="AO36" i="27"/>
  <c r="AP36" i="27"/>
  <c r="AQ36" i="27"/>
  <c r="AR36" i="27"/>
  <c r="AS36" i="27"/>
  <c r="AT36" i="27"/>
  <c r="AU36" i="27"/>
  <c r="AV36" i="27"/>
  <c r="AD37" i="27"/>
  <c r="AE37" i="27"/>
  <c r="AF37" i="27"/>
  <c r="AG37" i="27"/>
  <c r="AH37" i="27"/>
  <c r="AI37" i="27"/>
  <c r="AJ37" i="27"/>
  <c r="AK37" i="27"/>
  <c r="AL37" i="27"/>
  <c r="AM37" i="27"/>
  <c r="AN37" i="27"/>
  <c r="AO37" i="27"/>
  <c r="AP37" i="27"/>
  <c r="AQ37" i="27"/>
  <c r="AR37" i="27"/>
  <c r="AS37" i="27"/>
  <c r="AT37" i="27"/>
  <c r="AU37" i="27"/>
  <c r="AV37" i="27"/>
  <c r="AD38" i="27"/>
  <c r="AE38" i="27"/>
  <c r="AF38" i="27"/>
  <c r="AG38" i="27"/>
  <c r="AH38" i="27"/>
  <c r="AI38" i="27"/>
  <c r="AJ38" i="27"/>
  <c r="AK38" i="27"/>
  <c r="AL38" i="27"/>
  <c r="AM38" i="27"/>
  <c r="AN38" i="27"/>
  <c r="AO38" i="27"/>
  <c r="AP38" i="27"/>
  <c r="AQ38" i="27"/>
  <c r="AR38" i="27"/>
  <c r="AS38" i="27"/>
  <c r="AT38" i="27"/>
  <c r="AU38" i="27"/>
  <c r="AV38" i="27"/>
  <c r="AD39" i="27"/>
  <c r="AE39" i="27"/>
  <c r="AF39" i="27"/>
  <c r="AG39" i="27"/>
  <c r="AH39" i="27"/>
  <c r="AI39" i="27"/>
  <c r="AJ39" i="27"/>
  <c r="AK39" i="27"/>
  <c r="AL39" i="27"/>
  <c r="AM39" i="27"/>
  <c r="AN39" i="27"/>
  <c r="AO39" i="27"/>
  <c r="AP39" i="27"/>
  <c r="AQ39" i="27"/>
  <c r="AR39" i="27"/>
  <c r="AS39" i="27"/>
  <c r="AT39" i="27"/>
  <c r="AU39" i="27"/>
  <c r="AV39" i="27"/>
  <c r="AD40" i="27"/>
  <c r="AE40" i="27"/>
  <c r="AF40" i="27"/>
  <c r="AG40" i="27"/>
  <c r="AH40" i="27"/>
  <c r="AI40" i="27"/>
  <c r="AJ40" i="27"/>
  <c r="AK40" i="27"/>
  <c r="AL40" i="27"/>
  <c r="AM40" i="27"/>
  <c r="AN40" i="27"/>
  <c r="AO40" i="27"/>
  <c r="AP40" i="27"/>
  <c r="AQ40" i="27"/>
  <c r="AR40" i="27"/>
  <c r="AS40" i="27"/>
  <c r="AT40" i="27"/>
  <c r="AU40" i="27"/>
  <c r="AV40" i="27"/>
  <c r="AD41" i="27"/>
  <c r="AE41" i="27"/>
  <c r="AF41" i="27"/>
  <c r="AG41" i="27"/>
  <c r="AH41" i="27"/>
  <c r="AI41" i="27"/>
  <c r="AJ41" i="27"/>
  <c r="AK41" i="27"/>
  <c r="AL41" i="27"/>
  <c r="AM41" i="27"/>
  <c r="AN41" i="27"/>
  <c r="AO41" i="27"/>
  <c r="AP41" i="27"/>
  <c r="AQ41" i="27"/>
  <c r="AR41" i="27"/>
  <c r="AS41" i="27"/>
  <c r="AT41" i="27"/>
  <c r="AU41" i="27"/>
  <c r="AV41" i="27"/>
  <c r="AD42" i="27"/>
  <c r="AE42" i="27"/>
  <c r="AF42" i="27"/>
  <c r="AG42" i="27"/>
  <c r="AH42" i="27"/>
  <c r="AI42" i="27"/>
  <c r="AJ42" i="27"/>
  <c r="AK42" i="27"/>
  <c r="AL42" i="27"/>
  <c r="AM42" i="27"/>
  <c r="AN42" i="27"/>
  <c r="AO42" i="27"/>
  <c r="AP42" i="27"/>
  <c r="AQ42" i="27"/>
  <c r="AR42" i="27"/>
  <c r="AS42" i="27"/>
  <c r="AT42" i="27"/>
  <c r="AU42" i="27"/>
  <c r="AV42" i="27"/>
  <c r="AD43" i="27"/>
  <c r="AE43" i="27"/>
  <c r="AF43" i="27"/>
  <c r="AG43" i="27"/>
  <c r="AH43" i="27"/>
  <c r="AI43" i="27"/>
  <c r="AJ43" i="27"/>
  <c r="AK43" i="27"/>
  <c r="AL43" i="27"/>
  <c r="AM43" i="27"/>
  <c r="AN43" i="27"/>
  <c r="AO43" i="27"/>
  <c r="AP43" i="27"/>
  <c r="AQ43" i="27"/>
  <c r="AR43" i="27"/>
  <c r="AS43" i="27"/>
  <c r="AT43" i="27"/>
  <c r="AU43" i="27"/>
  <c r="AV43" i="27"/>
  <c r="AD44" i="27"/>
  <c r="AE44" i="27"/>
  <c r="AF44" i="27"/>
  <c r="AG44" i="27"/>
  <c r="AH44" i="27"/>
  <c r="AI44" i="27"/>
  <c r="AJ44" i="27"/>
  <c r="AK44" i="27"/>
  <c r="AL44" i="27"/>
  <c r="AM44" i="27"/>
  <c r="AN44" i="27"/>
  <c r="AO44" i="27"/>
  <c r="AP44" i="27"/>
  <c r="AQ44" i="27"/>
  <c r="AR44" i="27"/>
  <c r="AS44" i="27"/>
  <c r="AT44" i="27"/>
  <c r="AU44" i="27"/>
  <c r="AV44" i="27"/>
  <c r="AD45" i="27"/>
  <c r="AE45" i="27"/>
  <c r="AF45" i="27"/>
  <c r="AG45" i="27"/>
  <c r="AH45" i="27"/>
  <c r="AI45" i="27"/>
  <c r="AJ45" i="27"/>
  <c r="AK45" i="27"/>
  <c r="AL45" i="27"/>
  <c r="AM45" i="27"/>
  <c r="AN45" i="27"/>
  <c r="AO45" i="27"/>
  <c r="AP45" i="27"/>
  <c r="AQ45" i="27"/>
  <c r="AR45" i="27"/>
  <c r="AS45" i="27"/>
  <c r="AT45" i="27"/>
  <c r="AU45" i="27"/>
  <c r="AV45" i="27"/>
  <c r="AD46" i="27"/>
  <c r="AE46" i="27"/>
  <c r="AF46" i="27"/>
  <c r="AG46" i="27"/>
  <c r="AH46" i="27"/>
  <c r="AI46" i="27"/>
  <c r="AJ46" i="27"/>
  <c r="AK46" i="27"/>
  <c r="AL46" i="27"/>
  <c r="AM46" i="27"/>
  <c r="AN46" i="27"/>
  <c r="AO46" i="27"/>
  <c r="AP46" i="27"/>
  <c r="AQ46" i="27"/>
  <c r="AR46" i="27"/>
  <c r="AS46" i="27"/>
  <c r="AT46" i="27"/>
  <c r="AU46" i="27"/>
  <c r="AV46" i="27"/>
  <c r="AD47" i="27"/>
  <c r="AE47" i="27"/>
  <c r="AF47" i="27"/>
  <c r="AG47" i="27"/>
  <c r="AH47" i="27"/>
  <c r="AI47" i="27"/>
  <c r="AJ47" i="27"/>
  <c r="AK47" i="27"/>
  <c r="AL47" i="27"/>
  <c r="AM47" i="27"/>
  <c r="AN47" i="27"/>
  <c r="AO47" i="27"/>
  <c r="AP47" i="27"/>
  <c r="AQ47" i="27"/>
  <c r="AR47" i="27"/>
  <c r="AS47" i="27"/>
  <c r="AT47" i="27"/>
  <c r="AU47" i="27"/>
  <c r="AV47" i="27"/>
  <c r="AD48" i="27"/>
  <c r="AE48" i="27"/>
  <c r="AF48" i="27"/>
  <c r="AG48" i="27"/>
  <c r="AH48" i="27"/>
  <c r="AI48" i="27"/>
  <c r="AJ48" i="27"/>
  <c r="AK48" i="27"/>
  <c r="AL48" i="27"/>
  <c r="AM48" i="27"/>
  <c r="AN48" i="27"/>
  <c r="AO48" i="27"/>
  <c r="AP48" i="27"/>
  <c r="AQ48" i="27"/>
  <c r="AR48" i="27"/>
  <c r="AS48" i="27"/>
  <c r="AT48" i="27"/>
  <c r="AU48" i="27"/>
  <c r="AV48" i="27"/>
  <c r="AD49" i="27"/>
  <c r="AE49" i="27"/>
  <c r="AF49" i="27"/>
  <c r="AG49" i="27"/>
  <c r="AH49" i="27"/>
  <c r="AI49" i="27"/>
  <c r="AJ49" i="27"/>
  <c r="AK49" i="27"/>
  <c r="AL49" i="27"/>
  <c r="AM49" i="27"/>
  <c r="AN49" i="27"/>
  <c r="AO49" i="27"/>
  <c r="AP49" i="27"/>
  <c r="AQ49" i="27"/>
  <c r="AR49" i="27"/>
  <c r="AS49" i="27"/>
  <c r="AT49" i="27"/>
  <c r="AU49" i="27"/>
  <c r="AV49" i="27"/>
  <c r="AD50" i="27"/>
  <c r="AE50" i="27"/>
  <c r="AF50" i="27"/>
  <c r="AG50" i="27"/>
  <c r="AH50" i="27"/>
  <c r="AI50" i="27"/>
  <c r="AJ50" i="27"/>
  <c r="AK50" i="27"/>
  <c r="AL50" i="27"/>
  <c r="AM50" i="27"/>
  <c r="AN50" i="27"/>
  <c r="AO50" i="27"/>
  <c r="AP50" i="27"/>
  <c r="AQ50" i="27"/>
  <c r="AR50" i="27"/>
  <c r="AS50" i="27"/>
  <c r="AT50" i="27"/>
  <c r="AU50" i="27"/>
  <c r="AV50" i="27"/>
  <c r="AD51" i="27"/>
  <c r="AE51" i="27"/>
  <c r="AF51" i="27"/>
  <c r="AG51" i="27"/>
  <c r="AH51" i="27"/>
  <c r="AI51" i="27"/>
  <c r="AJ51" i="27"/>
  <c r="AK51" i="27"/>
  <c r="AL51" i="27"/>
  <c r="AM51" i="27"/>
  <c r="AN51" i="27"/>
  <c r="AO51" i="27"/>
  <c r="AP51" i="27"/>
  <c r="AQ51" i="27"/>
  <c r="AR51" i="27"/>
  <c r="AS51" i="27"/>
  <c r="AT51" i="27"/>
  <c r="AU51" i="27"/>
  <c r="AV51" i="27"/>
  <c r="AD52" i="27"/>
  <c r="AE52" i="27"/>
  <c r="AF52" i="27"/>
  <c r="AG52" i="27"/>
  <c r="AH52" i="27"/>
  <c r="AI52" i="27"/>
  <c r="AJ52" i="27"/>
  <c r="AK52" i="27"/>
  <c r="AL52" i="27"/>
  <c r="AM52" i="27"/>
  <c r="AN52" i="27"/>
  <c r="AO52" i="27"/>
  <c r="AP52" i="27"/>
  <c r="AQ52" i="27"/>
  <c r="AR52" i="27"/>
  <c r="AS52" i="27"/>
  <c r="AT52" i="27"/>
  <c r="AU52" i="27"/>
  <c r="AV52" i="27"/>
  <c r="AD53" i="27"/>
  <c r="AE53" i="27"/>
  <c r="AF53" i="27"/>
  <c r="AG53" i="27"/>
  <c r="AH53" i="27"/>
  <c r="AI53" i="27"/>
  <c r="AJ53" i="27"/>
  <c r="AK53" i="27"/>
  <c r="AL53" i="27"/>
  <c r="AM53" i="27"/>
  <c r="AN53" i="27"/>
  <c r="AO53" i="27"/>
  <c r="AP53" i="27"/>
  <c r="AQ53" i="27"/>
  <c r="AR53" i="27"/>
  <c r="AS53" i="27"/>
  <c r="AT53" i="27"/>
  <c r="AU53" i="27"/>
  <c r="AV53" i="27"/>
  <c r="AD54" i="27"/>
  <c r="AE54" i="27"/>
  <c r="AF54" i="27"/>
  <c r="AG54" i="27"/>
  <c r="AH54" i="27"/>
  <c r="AI54" i="27"/>
  <c r="AJ54" i="27"/>
  <c r="AK54" i="27"/>
  <c r="AL54" i="27"/>
  <c r="AM54" i="27"/>
  <c r="AN54" i="27"/>
  <c r="AO54" i="27"/>
  <c r="AP54" i="27"/>
  <c r="AQ54" i="27"/>
  <c r="AR54" i="27"/>
  <c r="AS54" i="27"/>
  <c r="AT54" i="27"/>
  <c r="AU54" i="27"/>
  <c r="AV54" i="27"/>
  <c r="AD55" i="27"/>
  <c r="AE55" i="27"/>
  <c r="AF55" i="27"/>
  <c r="AG55" i="27"/>
  <c r="AH55" i="27"/>
  <c r="AI55" i="27"/>
  <c r="AJ55" i="27"/>
  <c r="AK55" i="27"/>
  <c r="AL55" i="27"/>
  <c r="AM55" i="27"/>
  <c r="AN55" i="27"/>
  <c r="AO55" i="27"/>
  <c r="AP55" i="27"/>
  <c r="AQ55" i="27"/>
  <c r="AR55" i="27"/>
  <c r="AS55" i="27"/>
  <c r="AT55" i="27"/>
  <c r="AU55" i="27"/>
  <c r="AV55" i="27"/>
  <c r="AD56" i="27"/>
  <c r="AE56" i="27"/>
  <c r="AF56" i="27"/>
  <c r="AG56" i="27"/>
  <c r="AH56" i="27"/>
  <c r="AI56" i="27"/>
  <c r="AJ56" i="27"/>
  <c r="AK56" i="27"/>
  <c r="AL56" i="27"/>
  <c r="AM56" i="27"/>
  <c r="AN56" i="27"/>
  <c r="AO56" i="27"/>
  <c r="AP56" i="27"/>
  <c r="AQ56" i="27"/>
  <c r="AR56" i="27"/>
  <c r="AS56" i="27"/>
  <c r="AT56" i="27"/>
  <c r="AU56" i="27"/>
  <c r="AV56" i="27"/>
  <c r="AD57" i="27"/>
  <c r="AE57" i="27"/>
  <c r="AF57" i="27"/>
  <c r="AG57" i="27"/>
  <c r="AH57" i="27"/>
  <c r="AI57" i="27"/>
  <c r="AJ57" i="27"/>
  <c r="AK57" i="27"/>
  <c r="AL57" i="27"/>
  <c r="AM57" i="27"/>
  <c r="AN57" i="27"/>
  <c r="AO57" i="27"/>
  <c r="AP57" i="27"/>
  <c r="AQ57" i="27"/>
  <c r="AR57" i="27"/>
  <c r="AB57" i="27" s="1"/>
  <c r="AS57" i="27"/>
  <c r="AT57" i="27"/>
  <c r="AU57" i="27"/>
  <c r="AV57" i="27"/>
  <c r="AD58" i="27"/>
  <c r="AE58" i="27"/>
  <c r="AF58" i="27"/>
  <c r="AG58" i="27"/>
  <c r="AH58" i="27"/>
  <c r="AI58" i="27"/>
  <c r="AJ58" i="27"/>
  <c r="AK58" i="27"/>
  <c r="AL58" i="27"/>
  <c r="AM58" i="27"/>
  <c r="AN58" i="27"/>
  <c r="AO58" i="27"/>
  <c r="AP58" i="27"/>
  <c r="AQ58" i="27"/>
  <c r="AR58" i="27"/>
  <c r="AS58" i="27"/>
  <c r="AT58" i="27"/>
  <c r="AU58" i="27"/>
  <c r="AV58" i="27"/>
  <c r="AD59" i="27"/>
  <c r="AE59" i="27"/>
  <c r="AF59" i="27"/>
  <c r="AG59" i="27"/>
  <c r="AH59" i="27"/>
  <c r="AI59" i="27"/>
  <c r="AJ59" i="27"/>
  <c r="AK59" i="27"/>
  <c r="AL59" i="27"/>
  <c r="AM59" i="27"/>
  <c r="AN59" i="27"/>
  <c r="AO59" i="27"/>
  <c r="AP59" i="27"/>
  <c r="AQ59" i="27"/>
  <c r="AR59" i="27"/>
  <c r="AS59" i="27"/>
  <c r="AT59" i="27"/>
  <c r="AU59" i="27"/>
  <c r="AV59" i="27"/>
  <c r="AD60" i="27"/>
  <c r="AE60" i="27"/>
  <c r="AF60" i="27"/>
  <c r="AG60" i="27"/>
  <c r="AH60" i="27"/>
  <c r="AI60" i="27"/>
  <c r="AJ60" i="27"/>
  <c r="AK60" i="27"/>
  <c r="AL60" i="27"/>
  <c r="AM60" i="27"/>
  <c r="AN60" i="27"/>
  <c r="AO60" i="27"/>
  <c r="AP60" i="27"/>
  <c r="AQ60" i="27"/>
  <c r="AR60" i="27"/>
  <c r="AS60" i="27"/>
  <c r="AT60" i="27"/>
  <c r="AU60" i="27"/>
  <c r="AV60" i="27"/>
  <c r="AD61" i="27"/>
  <c r="AE61" i="27"/>
  <c r="AF61" i="27"/>
  <c r="AG61" i="27"/>
  <c r="AH61" i="27"/>
  <c r="AI61" i="27"/>
  <c r="AJ61" i="27"/>
  <c r="AK61" i="27"/>
  <c r="AL61" i="27"/>
  <c r="AM61" i="27"/>
  <c r="AN61" i="27"/>
  <c r="AO61" i="27"/>
  <c r="AP61" i="27"/>
  <c r="AQ61" i="27"/>
  <c r="AR61" i="27"/>
  <c r="AS61" i="27"/>
  <c r="AT61" i="27"/>
  <c r="AU61" i="27"/>
  <c r="AV61" i="27"/>
  <c r="AD62" i="27"/>
  <c r="AE62" i="27"/>
  <c r="AF62" i="27"/>
  <c r="AG62" i="27"/>
  <c r="AH62" i="27"/>
  <c r="AI62" i="27"/>
  <c r="AJ62" i="27"/>
  <c r="AK62" i="27"/>
  <c r="AL62" i="27"/>
  <c r="AM62" i="27"/>
  <c r="AN62" i="27"/>
  <c r="AO62" i="27"/>
  <c r="AP62" i="27"/>
  <c r="AQ62" i="27"/>
  <c r="AR62" i="27"/>
  <c r="AS62" i="27"/>
  <c r="AT62" i="27"/>
  <c r="AU62" i="27"/>
  <c r="AV62" i="27"/>
  <c r="AD63" i="27"/>
  <c r="AE63" i="27"/>
  <c r="AF63" i="27"/>
  <c r="AG63" i="27"/>
  <c r="AH63" i="27"/>
  <c r="AI63" i="27"/>
  <c r="AJ63" i="27"/>
  <c r="AK63" i="27"/>
  <c r="AL63" i="27"/>
  <c r="AM63" i="27"/>
  <c r="AN63" i="27"/>
  <c r="AO63" i="27"/>
  <c r="AP63" i="27"/>
  <c r="AQ63" i="27"/>
  <c r="AR63" i="27"/>
  <c r="AS63" i="27"/>
  <c r="AT63" i="27"/>
  <c r="AU63" i="27"/>
  <c r="AV63" i="27"/>
  <c r="AD64" i="27"/>
  <c r="AE64" i="27"/>
  <c r="AF64" i="27"/>
  <c r="AG64" i="27"/>
  <c r="AH64" i="27"/>
  <c r="AI64" i="27"/>
  <c r="AJ64" i="27"/>
  <c r="AK64" i="27"/>
  <c r="AL64" i="27"/>
  <c r="AM64" i="27"/>
  <c r="AN64" i="27"/>
  <c r="AO64" i="27"/>
  <c r="AP64" i="27"/>
  <c r="AQ64" i="27"/>
  <c r="AR64" i="27"/>
  <c r="AS64" i="27"/>
  <c r="AT64" i="27"/>
  <c r="AU64" i="27"/>
  <c r="AV64" i="27"/>
  <c r="AD65" i="27"/>
  <c r="AE65" i="27"/>
  <c r="AF65" i="27"/>
  <c r="AG65" i="27"/>
  <c r="AH65" i="27"/>
  <c r="AI65" i="27"/>
  <c r="AJ65" i="27"/>
  <c r="AK65" i="27"/>
  <c r="AL65" i="27"/>
  <c r="AM65" i="27"/>
  <c r="AN65" i="27"/>
  <c r="AO65" i="27"/>
  <c r="AP65" i="27"/>
  <c r="AQ65" i="27"/>
  <c r="AR65" i="27"/>
  <c r="AS65" i="27"/>
  <c r="AT65" i="27"/>
  <c r="AU65" i="27"/>
  <c r="AV65" i="27"/>
  <c r="AD66" i="27"/>
  <c r="AE66" i="27"/>
  <c r="AF66" i="27"/>
  <c r="AG66" i="27"/>
  <c r="AH66" i="27"/>
  <c r="AI66" i="27"/>
  <c r="AJ66" i="27"/>
  <c r="AK66" i="27"/>
  <c r="AL66" i="27"/>
  <c r="AM66" i="27"/>
  <c r="AN66" i="27"/>
  <c r="AO66" i="27"/>
  <c r="AP66" i="27"/>
  <c r="AQ66" i="27"/>
  <c r="AR66" i="27"/>
  <c r="AS66" i="27"/>
  <c r="AT66" i="27"/>
  <c r="AU66" i="27"/>
  <c r="AV66" i="27"/>
  <c r="AD67" i="27"/>
  <c r="AE67" i="27"/>
  <c r="AF67" i="27"/>
  <c r="AG67" i="27"/>
  <c r="AH67" i="27"/>
  <c r="AI67" i="27"/>
  <c r="AJ67" i="27"/>
  <c r="AK67" i="27"/>
  <c r="AL67" i="27"/>
  <c r="AM67" i="27"/>
  <c r="AN67" i="27"/>
  <c r="AO67" i="27"/>
  <c r="AP67" i="27"/>
  <c r="AQ67" i="27"/>
  <c r="AR67" i="27"/>
  <c r="AS67" i="27"/>
  <c r="AT67" i="27"/>
  <c r="AU67" i="27"/>
  <c r="AV67" i="27"/>
  <c r="AD68" i="27"/>
  <c r="AE68" i="27"/>
  <c r="AF68" i="27"/>
  <c r="AG68" i="27"/>
  <c r="AH68" i="27"/>
  <c r="AI68" i="27"/>
  <c r="AJ68" i="27"/>
  <c r="AK68" i="27"/>
  <c r="AL68" i="27"/>
  <c r="AM68" i="27"/>
  <c r="AN68" i="27"/>
  <c r="AO68" i="27"/>
  <c r="AP68" i="27"/>
  <c r="AQ68" i="27"/>
  <c r="AR68" i="27"/>
  <c r="AS68" i="27"/>
  <c r="AT68" i="27"/>
  <c r="AU68" i="27"/>
  <c r="AV68" i="27"/>
  <c r="AD69" i="27"/>
  <c r="AE69" i="27"/>
  <c r="AF69" i="27"/>
  <c r="AG69" i="27"/>
  <c r="AH69" i="27"/>
  <c r="AI69" i="27"/>
  <c r="AJ69" i="27"/>
  <c r="AK69" i="27"/>
  <c r="AL69" i="27"/>
  <c r="AM69" i="27"/>
  <c r="AN69" i="27"/>
  <c r="AO69" i="27"/>
  <c r="AP69" i="27"/>
  <c r="AQ69" i="27"/>
  <c r="AR69" i="27"/>
  <c r="AS69" i="27"/>
  <c r="AT69" i="27"/>
  <c r="AU69" i="27"/>
  <c r="AV69" i="27"/>
  <c r="AD70" i="27"/>
  <c r="AE70" i="27"/>
  <c r="AF70" i="27"/>
  <c r="AG70" i="27"/>
  <c r="AH70" i="27"/>
  <c r="AI70" i="27"/>
  <c r="AJ70" i="27"/>
  <c r="AK70" i="27"/>
  <c r="AL70" i="27"/>
  <c r="AM70" i="27"/>
  <c r="AN70" i="27"/>
  <c r="AO70" i="27"/>
  <c r="AP70" i="27"/>
  <c r="AQ70" i="27"/>
  <c r="AR70" i="27"/>
  <c r="AS70" i="27"/>
  <c r="AT70" i="27"/>
  <c r="AU70" i="27"/>
  <c r="AV70" i="27"/>
  <c r="AD71" i="27"/>
  <c r="AE71" i="27"/>
  <c r="AF71" i="27"/>
  <c r="AG71" i="27"/>
  <c r="AH71" i="27"/>
  <c r="AI71" i="27"/>
  <c r="AJ71" i="27"/>
  <c r="AK71" i="27"/>
  <c r="AL71" i="27"/>
  <c r="AM71" i="27"/>
  <c r="AN71" i="27"/>
  <c r="AO71" i="27"/>
  <c r="AP71" i="27"/>
  <c r="AQ71" i="27"/>
  <c r="AR71" i="27"/>
  <c r="AB71" i="27" s="1"/>
  <c r="AS71" i="27"/>
  <c r="AT71" i="27"/>
  <c r="AU71" i="27"/>
  <c r="AV71" i="27"/>
  <c r="AD72" i="27"/>
  <c r="AE72" i="27"/>
  <c r="AF72" i="27"/>
  <c r="AG72" i="27"/>
  <c r="AH72" i="27"/>
  <c r="AI72" i="27"/>
  <c r="AJ72" i="27"/>
  <c r="AK72" i="27"/>
  <c r="AL72" i="27"/>
  <c r="AM72" i="27"/>
  <c r="AN72" i="27"/>
  <c r="AO72" i="27"/>
  <c r="AP72" i="27"/>
  <c r="AQ72" i="27"/>
  <c r="AR72" i="27"/>
  <c r="AS72" i="27"/>
  <c r="AT72" i="27"/>
  <c r="AU72" i="27"/>
  <c r="AV72" i="27"/>
  <c r="AD73" i="27"/>
  <c r="AE73" i="27"/>
  <c r="AF73" i="27"/>
  <c r="AG73" i="27"/>
  <c r="AH73" i="27"/>
  <c r="AI73" i="27"/>
  <c r="AJ73" i="27"/>
  <c r="AK73" i="27"/>
  <c r="AL73" i="27"/>
  <c r="AM73" i="27"/>
  <c r="AN73" i="27"/>
  <c r="AO73" i="27"/>
  <c r="AP73" i="27"/>
  <c r="AQ73" i="27"/>
  <c r="AR73" i="27"/>
  <c r="AS73" i="27"/>
  <c r="AT73" i="27"/>
  <c r="AU73" i="27"/>
  <c r="AV73" i="27"/>
  <c r="AD74" i="27"/>
  <c r="AE74" i="27"/>
  <c r="AF74" i="27"/>
  <c r="AG74" i="27"/>
  <c r="AH74" i="27"/>
  <c r="AI74" i="27"/>
  <c r="AJ74" i="27"/>
  <c r="AK74" i="27"/>
  <c r="AL74" i="27"/>
  <c r="AM74" i="27"/>
  <c r="AN74" i="27"/>
  <c r="AO74" i="27"/>
  <c r="AP74" i="27"/>
  <c r="AQ74" i="27"/>
  <c r="AR74" i="27"/>
  <c r="AS74" i="27"/>
  <c r="AT74" i="27"/>
  <c r="AU74" i="27"/>
  <c r="AV74" i="27"/>
  <c r="AD75" i="27"/>
  <c r="AE75" i="27"/>
  <c r="AF75" i="27"/>
  <c r="AG75" i="27"/>
  <c r="AH75" i="27"/>
  <c r="AI75" i="27"/>
  <c r="AJ75" i="27"/>
  <c r="AK75" i="27"/>
  <c r="AL75" i="27"/>
  <c r="AM75" i="27"/>
  <c r="AN75" i="27"/>
  <c r="AO75" i="27"/>
  <c r="AP75" i="27"/>
  <c r="AQ75" i="27"/>
  <c r="AR75" i="27"/>
  <c r="AS75" i="27"/>
  <c r="AT75" i="27"/>
  <c r="AU75" i="27"/>
  <c r="AV75" i="27"/>
  <c r="AD76" i="27"/>
  <c r="AE76" i="27"/>
  <c r="AF76" i="27"/>
  <c r="AG76" i="27"/>
  <c r="AH76" i="27"/>
  <c r="AI76" i="27"/>
  <c r="AJ76" i="27"/>
  <c r="AK76" i="27"/>
  <c r="AL76" i="27"/>
  <c r="AM76" i="27"/>
  <c r="AN76" i="27"/>
  <c r="AO76" i="27"/>
  <c r="AP76" i="27"/>
  <c r="AQ76" i="27"/>
  <c r="AR76" i="27"/>
  <c r="AS76" i="27"/>
  <c r="AT76" i="27"/>
  <c r="AU76" i="27"/>
  <c r="AV76" i="27"/>
  <c r="AD77" i="27"/>
  <c r="AE77" i="27"/>
  <c r="AF77" i="27"/>
  <c r="AG77" i="27"/>
  <c r="AH77" i="27"/>
  <c r="AI77" i="27"/>
  <c r="AJ77" i="27"/>
  <c r="AK77" i="27"/>
  <c r="AL77" i="27"/>
  <c r="AM77" i="27"/>
  <c r="AN77" i="27"/>
  <c r="AO77" i="27"/>
  <c r="AP77" i="27"/>
  <c r="AQ77" i="27"/>
  <c r="AR77" i="27"/>
  <c r="AS77" i="27"/>
  <c r="AT77" i="27"/>
  <c r="AU77" i="27"/>
  <c r="AV77" i="27"/>
  <c r="AD78" i="27"/>
  <c r="AE78" i="27"/>
  <c r="AF78" i="27"/>
  <c r="AG78" i="27"/>
  <c r="AH78" i="27"/>
  <c r="AI78" i="27"/>
  <c r="AJ78" i="27"/>
  <c r="AK78" i="27"/>
  <c r="AL78" i="27"/>
  <c r="AM78" i="27"/>
  <c r="AN78" i="27"/>
  <c r="AO78" i="27"/>
  <c r="AP78" i="27"/>
  <c r="AQ78" i="27"/>
  <c r="AR78" i="27"/>
  <c r="AS78" i="27"/>
  <c r="AT78" i="27"/>
  <c r="AU78" i="27"/>
  <c r="AV78" i="27"/>
  <c r="AD79" i="27"/>
  <c r="AE79" i="27"/>
  <c r="AF79" i="27"/>
  <c r="AG79" i="27"/>
  <c r="AH79" i="27"/>
  <c r="AI79" i="27"/>
  <c r="AJ79" i="27"/>
  <c r="AK79" i="27"/>
  <c r="AL79" i="27"/>
  <c r="AM79" i="27"/>
  <c r="AN79" i="27"/>
  <c r="AO79" i="27"/>
  <c r="AP79" i="27"/>
  <c r="AQ79" i="27"/>
  <c r="AR79" i="27"/>
  <c r="AS79" i="27"/>
  <c r="AT79" i="27"/>
  <c r="AU79" i="27"/>
  <c r="AV79" i="27"/>
  <c r="AD80" i="27"/>
  <c r="AE80" i="27"/>
  <c r="AF80" i="27"/>
  <c r="AG80" i="27"/>
  <c r="AH80" i="27"/>
  <c r="AI80" i="27"/>
  <c r="AJ80" i="27"/>
  <c r="AK80" i="27"/>
  <c r="AL80" i="27"/>
  <c r="AM80" i="27"/>
  <c r="AN80" i="27"/>
  <c r="AO80" i="27"/>
  <c r="AP80" i="27"/>
  <c r="AQ80" i="27"/>
  <c r="AR80" i="27"/>
  <c r="AS80" i="27"/>
  <c r="AT80" i="27"/>
  <c r="AU80" i="27"/>
  <c r="AV80" i="27"/>
  <c r="AD81" i="27"/>
  <c r="AE81" i="27"/>
  <c r="AF81" i="27"/>
  <c r="AG81" i="27"/>
  <c r="AH81" i="27"/>
  <c r="AI81" i="27"/>
  <c r="AJ81" i="27"/>
  <c r="AK81" i="27"/>
  <c r="AL81" i="27"/>
  <c r="AM81" i="27"/>
  <c r="AN81" i="27"/>
  <c r="AO81" i="27"/>
  <c r="AP81" i="27"/>
  <c r="AQ81" i="27"/>
  <c r="AR81" i="27"/>
  <c r="AS81" i="27"/>
  <c r="AT81" i="27"/>
  <c r="AU81" i="27"/>
  <c r="AV81" i="27"/>
  <c r="AD82" i="27"/>
  <c r="AE82" i="27"/>
  <c r="AF82" i="27"/>
  <c r="AG82" i="27"/>
  <c r="AH82" i="27"/>
  <c r="AI82" i="27"/>
  <c r="AJ82" i="27"/>
  <c r="AK82" i="27"/>
  <c r="AL82" i="27"/>
  <c r="AM82" i="27"/>
  <c r="AN82" i="27"/>
  <c r="AO82" i="27"/>
  <c r="AP82" i="27"/>
  <c r="AQ82" i="27"/>
  <c r="AR82" i="27"/>
  <c r="AS82" i="27"/>
  <c r="AT82" i="27"/>
  <c r="AU82" i="27"/>
  <c r="AV82" i="27"/>
  <c r="AD83" i="27"/>
  <c r="AE83" i="27"/>
  <c r="AF83" i="27"/>
  <c r="AG83" i="27"/>
  <c r="AH83" i="27"/>
  <c r="AI83" i="27"/>
  <c r="AJ83" i="27"/>
  <c r="AK83" i="27"/>
  <c r="AL83" i="27"/>
  <c r="AM83" i="27"/>
  <c r="AN83" i="27"/>
  <c r="AO83" i="27"/>
  <c r="AP83" i="27"/>
  <c r="AQ83" i="27"/>
  <c r="AR83" i="27"/>
  <c r="AS83" i="27"/>
  <c r="AT83" i="27"/>
  <c r="AU83" i="27"/>
  <c r="AV83" i="27"/>
  <c r="AD84" i="27"/>
  <c r="AE84" i="27"/>
  <c r="AF84" i="27"/>
  <c r="AG84" i="27"/>
  <c r="AH84" i="27"/>
  <c r="AI84" i="27"/>
  <c r="AJ84" i="27"/>
  <c r="AK84" i="27"/>
  <c r="AL84" i="27"/>
  <c r="AM84" i="27"/>
  <c r="AN84" i="27"/>
  <c r="AO84" i="27"/>
  <c r="AP84" i="27"/>
  <c r="AQ84" i="27"/>
  <c r="AR84" i="27"/>
  <c r="AS84" i="27"/>
  <c r="AT84" i="27"/>
  <c r="AU84" i="27"/>
  <c r="AV84" i="27"/>
  <c r="AD85" i="27"/>
  <c r="AE85" i="27"/>
  <c r="AF85" i="27"/>
  <c r="AG85" i="27"/>
  <c r="AH85" i="27"/>
  <c r="AI85" i="27"/>
  <c r="AJ85" i="27"/>
  <c r="AK85" i="27"/>
  <c r="AL85" i="27"/>
  <c r="AM85" i="27"/>
  <c r="AN85" i="27"/>
  <c r="AO85" i="27"/>
  <c r="AP85" i="27"/>
  <c r="AQ85" i="27"/>
  <c r="AR85" i="27"/>
  <c r="AS85" i="27"/>
  <c r="AT85" i="27"/>
  <c r="AU85" i="27"/>
  <c r="AV85" i="27"/>
  <c r="AD86" i="27"/>
  <c r="AE86" i="27"/>
  <c r="AF86" i="27"/>
  <c r="AG86" i="27"/>
  <c r="AH86" i="27"/>
  <c r="AI86" i="27"/>
  <c r="AJ86" i="27"/>
  <c r="AK86" i="27"/>
  <c r="AL86" i="27"/>
  <c r="AM86" i="27"/>
  <c r="AN86" i="27"/>
  <c r="AO86" i="27"/>
  <c r="AP86" i="27"/>
  <c r="AQ86" i="27"/>
  <c r="AR86" i="27"/>
  <c r="AS86" i="27"/>
  <c r="AT86" i="27"/>
  <c r="AU86" i="27"/>
  <c r="AV86" i="27"/>
  <c r="AD87" i="27"/>
  <c r="AE87" i="27"/>
  <c r="AF87" i="27"/>
  <c r="AG87" i="27"/>
  <c r="AH87" i="27"/>
  <c r="AI87" i="27"/>
  <c r="AJ87" i="27"/>
  <c r="AK87" i="27"/>
  <c r="AL87" i="27"/>
  <c r="AM87" i="27"/>
  <c r="AN87" i="27"/>
  <c r="AO87" i="27"/>
  <c r="AP87" i="27"/>
  <c r="AQ87" i="27"/>
  <c r="AR87" i="27"/>
  <c r="AS87" i="27"/>
  <c r="AT87" i="27"/>
  <c r="AU87" i="27"/>
  <c r="AV87" i="27"/>
  <c r="AD88" i="27"/>
  <c r="AE88" i="27"/>
  <c r="AF88" i="27"/>
  <c r="AG88" i="27"/>
  <c r="AH88" i="27"/>
  <c r="AI88" i="27"/>
  <c r="AJ88" i="27"/>
  <c r="AK88" i="27"/>
  <c r="AL88" i="27"/>
  <c r="AM88" i="27"/>
  <c r="AN88" i="27"/>
  <c r="AO88" i="27"/>
  <c r="AP88" i="27"/>
  <c r="AQ88" i="27"/>
  <c r="AR88" i="27"/>
  <c r="AS88" i="27"/>
  <c r="AT88" i="27"/>
  <c r="AU88" i="27"/>
  <c r="AV88" i="27"/>
  <c r="AD89" i="27"/>
  <c r="AE89" i="27"/>
  <c r="AF89" i="27"/>
  <c r="AG89" i="27"/>
  <c r="AH89" i="27"/>
  <c r="AI89" i="27"/>
  <c r="AJ89" i="27"/>
  <c r="AK89" i="27"/>
  <c r="AL89" i="27"/>
  <c r="AM89" i="27"/>
  <c r="AN89" i="27"/>
  <c r="AO89" i="27"/>
  <c r="AP89" i="27"/>
  <c r="AQ89" i="27"/>
  <c r="AR89" i="27"/>
  <c r="AS89" i="27"/>
  <c r="AT89" i="27"/>
  <c r="AU89" i="27"/>
  <c r="AV89" i="27"/>
  <c r="AD90" i="27"/>
  <c r="AE90" i="27"/>
  <c r="AF90" i="27"/>
  <c r="AG90" i="27"/>
  <c r="AH90" i="27"/>
  <c r="AI90" i="27"/>
  <c r="AJ90" i="27"/>
  <c r="AK90" i="27"/>
  <c r="AL90" i="27"/>
  <c r="AM90" i="27"/>
  <c r="AN90" i="27"/>
  <c r="AO90" i="27"/>
  <c r="AP90" i="27"/>
  <c r="AQ90" i="27"/>
  <c r="AR90" i="27"/>
  <c r="AS90" i="27"/>
  <c r="AT90" i="27"/>
  <c r="AU90" i="27"/>
  <c r="AV90" i="27"/>
  <c r="AD91" i="27"/>
  <c r="AE91" i="27"/>
  <c r="AF91" i="27"/>
  <c r="AG91" i="27"/>
  <c r="AH91" i="27"/>
  <c r="AI91" i="27"/>
  <c r="AJ91" i="27"/>
  <c r="AK91" i="27"/>
  <c r="AL91" i="27"/>
  <c r="AM91" i="27"/>
  <c r="AN91" i="27"/>
  <c r="AO91" i="27"/>
  <c r="AP91" i="27"/>
  <c r="AQ91" i="27"/>
  <c r="AR91" i="27"/>
  <c r="AS91" i="27"/>
  <c r="AT91" i="27"/>
  <c r="AU91" i="27"/>
  <c r="AV91" i="27"/>
  <c r="AD92" i="27"/>
  <c r="AE92" i="27"/>
  <c r="AF92" i="27"/>
  <c r="AG92" i="27"/>
  <c r="AH92" i="27"/>
  <c r="AI92" i="27"/>
  <c r="AJ92" i="27"/>
  <c r="AK92" i="27"/>
  <c r="AL92" i="27"/>
  <c r="AM92" i="27"/>
  <c r="AN92" i="27"/>
  <c r="AO92" i="27"/>
  <c r="AP92" i="27"/>
  <c r="AQ92" i="27"/>
  <c r="AR92" i="27"/>
  <c r="AS92" i="27"/>
  <c r="AT92" i="27"/>
  <c r="AU92" i="27"/>
  <c r="AV92" i="27"/>
  <c r="AD93" i="27"/>
  <c r="AE93" i="27"/>
  <c r="AF93" i="27"/>
  <c r="AG93" i="27"/>
  <c r="AH93" i="27"/>
  <c r="AI93" i="27"/>
  <c r="AJ93" i="27"/>
  <c r="AK93" i="27"/>
  <c r="AL93" i="27"/>
  <c r="AM93" i="27"/>
  <c r="AN93" i="27"/>
  <c r="AO93" i="27"/>
  <c r="AP93" i="27"/>
  <c r="AQ93" i="27"/>
  <c r="AR93" i="27"/>
  <c r="AS93" i="27"/>
  <c r="AT93" i="27"/>
  <c r="AU93" i="27"/>
  <c r="AV93" i="27"/>
  <c r="AD94" i="27"/>
  <c r="AE94" i="27"/>
  <c r="AF94" i="27"/>
  <c r="AG94" i="27"/>
  <c r="AH94" i="27"/>
  <c r="AI94" i="27"/>
  <c r="AJ94" i="27"/>
  <c r="AK94" i="27"/>
  <c r="AL94" i="27"/>
  <c r="AM94" i="27"/>
  <c r="AN94" i="27"/>
  <c r="AO94" i="27"/>
  <c r="AP94" i="27"/>
  <c r="AQ94" i="27"/>
  <c r="AR94" i="27"/>
  <c r="AS94" i="27"/>
  <c r="AT94" i="27"/>
  <c r="AU94" i="27"/>
  <c r="AV94" i="27"/>
  <c r="AD95" i="27"/>
  <c r="AE95" i="27"/>
  <c r="AF95" i="27"/>
  <c r="AG95" i="27"/>
  <c r="AH95" i="27"/>
  <c r="AI95" i="27"/>
  <c r="AJ95" i="27"/>
  <c r="AK95" i="27"/>
  <c r="AL95" i="27"/>
  <c r="AM95" i="27"/>
  <c r="AN95" i="27"/>
  <c r="AO95" i="27"/>
  <c r="AP95" i="27"/>
  <c r="AQ95" i="27"/>
  <c r="AR95" i="27"/>
  <c r="AS95" i="27"/>
  <c r="AT95" i="27"/>
  <c r="AU95" i="27"/>
  <c r="AV95" i="27"/>
  <c r="AD96" i="27"/>
  <c r="AE96" i="27"/>
  <c r="AF96" i="27"/>
  <c r="AG96" i="27"/>
  <c r="AH96" i="27"/>
  <c r="AI96" i="27"/>
  <c r="AJ96" i="27"/>
  <c r="AK96" i="27"/>
  <c r="AL96" i="27"/>
  <c r="AM96" i="27"/>
  <c r="AN96" i="27"/>
  <c r="AO96" i="27"/>
  <c r="AP96" i="27"/>
  <c r="AQ96" i="27"/>
  <c r="AR96" i="27"/>
  <c r="AS96" i="27"/>
  <c r="AT96" i="27"/>
  <c r="AU96" i="27"/>
  <c r="AV96" i="27"/>
  <c r="AD97" i="27"/>
  <c r="AE97" i="27"/>
  <c r="AF97" i="27"/>
  <c r="AG97" i="27"/>
  <c r="AH97" i="27"/>
  <c r="AI97" i="27"/>
  <c r="AJ97" i="27"/>
  <c r="AK97" i="27"/>
  <c r="AL97" i="27"/>
  <c r="AM97" i="27"/>
  <c r="AN97" i="27"/>
  <c r="AO97" i="27"/>
  <c r="AP97" i="27"/>
  <c r="AQ97" i="27"/>
  <c r="AR97" i="27"/>
  <c r="AS97" i="27"/>
  <c r="AT97" i="27"/>
  <c r="AU97" i="27"/>
  <c r="AV97" i="27"/>
  <c r="AD98" i="27"/>
  <c r="AE98" i="27"/>
  <c r="AF98" i="27"/>
  <c r="AG98" i="27"/>
  <c r="AH98" i="27"/>
  <c r="AI98" i="27"/>
  <c r="AJ98" i="27"/>
  <c r="AK98" i="27"/>
  <c r="AL98" i="27"/>
  <c r="AM98" i="27"/>
  <c r="AN98" i="27"/>
  <c r="AO98" i="27"/>
  <c r="AP98" i="27"/>
  <c r="AQ98" i="27"/>
  <c r="AR98" i="27"/>
  <c r="AS98" i="27"/>
  <c r="AT98" i="27"/>
  <c r="AU98" i="27"/>
  <c r="AV98" i="27"/>
  <c r="AD99" i="27"/>
  <c r="AE99" i="27"/>
  <c r="AF99" i="27"/>
  <c r="AG99" i="27"/>
  <c r="AH99" i="27"/>
  <c r="AI99" i="27"/>
  <c r="AJ99" i="27"/>
  <c r="AK99" i="27"/>
  <c r="AL99" i="27"/>
  <c r="AM99" i="27"/>
  <c r="AN99" i="27"/>
  <c r="AO99" i="27"/>
  <c r="AP99" i="27"/>
  <c r="AQ99" i="27"/>
  <c r="AR99" i="27"/>
  <c r="AS99" i="27"/>
  <c r="AT99" i="27"/>
  <c r="AU99" i="27"/>
  <c r="AV99" i="27"/>
  <c r="AD100" i="27"/>
  <c r="AE100" i="27"/>
  <c r="AF100" i="27"/>
  <c r="AG100" i="27"/>
  <c r="AH100" i="27"/>
  <c r="AI100" i="27"/>
  <c r="AJ100" i="27"/>
  <c r="AK100" i="27"/>
  <c r="AL100" i="27"/>
  <c r="AM100" i="27"/>
  <c r="AN100" i="27"/>
  <c r="AO100" i="27"/>
  <c r="AP100" i="27"/>
  <c r="AQ100" i="27"/>
  <c r="AR100" i="27"/>
  <c r="AS100" i="27"/>
  <c r="AT100" i="27"/>
  <c r="AU100" i="27"/>
  <c r="AV100" i="27"/>
  <c r="AD101" i="27"/>
  <c r="AE101" i="27"/>
  <c r="AF101" i="27"/>
  <c r="AG101" i="27"/>
  <c r="AH101" i="27"/>
  <c r="AI101" i="27"/>
  <c r="AJ101" i="27"/>
  <c r="AK101" i="27"/>
  <c r="AL101" i="27"/>
  <c r="AM101" i="27"/>
  <c r="AN101" i="27"/>
  <c r="AO101" i="27"/>
  <c r="AP101" i="27"/>
  <c r="AQ101" i="27"/>
  <c r="AR101" i="27"/>
  <c r="AS101" i="27"/>
  <c r="AT101" i="27"/>
  <c r="AU101" i="27"/>
  <c r="AV101" i="27"/>
  <c r="AD102" i="27"/>
  <c r="AE102" i="27"/>
  <c r="AF102" i="27"/>
  <c r="AG102" i="27"/>
  <c r="AH102" i="27"/>
  <c r="AI102" i="27"/>
  <c r="AJ102" i="27"/>
  <c r="AK102" i="27"/>
  <c r="AL102" i="27"/>
  <c r="AM102" i="27"/>
  <c r="AN102" i="27"/>
  <c r="AO102" i="27"/>
  <c r="AP102" i="27"/>
  <c r="AQ102" i="27"/>
  <c r="AR102" i="27"/>
  <c r="AS102" i="27"/>
  <c r="AT102" i="27"/>
  <c r="AU102" i="27"/>
  <c r="AV102" i="27"/>
  <c r="AD103" i="27"/>
  <c r="AE103" i="27"/>
  <c r="AF103" i="27"/>
  <c r="AG103" i="27"/>
  <c r="AH103" i="27"/>
  <c r="AI103" i="27"/>
  <c r="AJ103" i="27"/>
  <c r="AK103" i="27"/>
  <c r="AL103" i="27"/>
  <c r="AM103" i="27"/>
  <c r="AN103" i="27"/>
  <c r="AO103" i="27"/>
  <c r="AP103" i="27"/>
  <c r="AQ103" i="27"/>
  <c r="AR103" i="27"/>
  <c r="AS103" i="27"/>
  <c r="AT103" i="27"/>
  <c r="AU103" i="27"/>
  <c r="AV103" i="27"/>
  <c r="AD104" i="27"/>
  <c r="AE104" i="27"/>
  <c r="AF104" i="27"/>
  <c r="AG104" i="27"/>
  <c r="AH104" i="27"/>
  <c r="AI104" i="27"/>
  <c r="AJ104" i="27"/>
  <c r="AK104" i="27"/>
  <c r="AL104" i="27"/>
  <c r="AM104" i="27"/>
  <c r="AN104" i="27"/>
  <c r="AO104" i="27"/>
  <c r="AP104" i="27"/>
  <c r="AQ104" i="27"/>
  <c r="AR104" i="27"/>
  <c r="AS104" i="27"/>
  <c r="AT104" i="27"/>
  <c r="AU104" i="27"/>
  <c r="AV104" i="27"/>
  <c r="AD105" i="27"/>
  <c r="AE105" i="27"/>
  <c r="AF105" i="27"/>
  <c r="AG105" i="27"/>
  <c r="AH105" i="27"/>
  <c r="AI105" i="27"/>
  <c r="AJ105" i="27"/>
  <c r="AK105" i="27"/>
  <c r="AL105" i="27"/>
  <c r="AM105" i="27"/>
  <c r="AN105" i="27"/>
  <c r="AO105" i="27"/>
  <c r="AP105" i="27"/>
  <c r="AQ105" i="27"/>
  <c r="AR105" i="27"/>
  <c r="AS105" i="27"/>
  <c r="AT105" i="27"/>
  <c r="AU105" i="27"/>
  <c r="AV105" i="27"/>
  <c r="AD106" i="27"/>
  <c r="AE106" i="27"/>
  <c r="AF106" i="27"/>
  <c r="AG106" i="27"/>
  <c r="AH106" i="27"/>
  <c r="AI106" i="27"/>
  <c r="AJ106" i="27"/>
  <c r="AK106" i="27"/>
  <c r="AL106" i="27"/>
  <c r="AM106" i="27"/>
  <c r="AN106" i="27"/>
  <c r="AO106" i="27"/>
  <c r="AP106" i="27"/>
  <c r="AQ106" i="27"/>
  <c r="AR106" i="27"/>
  <c r="AS106" i="27"/>
  <c r="AT106" i="27"/>
  <c r="AU106" i="27"/>
  <c r="AV106" i="27"/>
  <c r="AD107" i="27"/>
  <c r="AE107" i="27"/>
  <c r="AF107" i="27"/>
  <c r="AG107" i="27"/>
  <c r="AH107" i="27"/>
  <c r="AI107" i="27"/>
  <c r="AJ107" i="27"/>
  <c r="AK107" i="27"/>
  <c r="AL107" i="27"/>
  <c r="AM107" i="27"/>
  <c r="AN107" i="27"/>
  <c r="AO107" i="27"/>
  <c r="AP107" i="27"/>
  <c r="AQ107" i="27"/>
  <c r="AR107" i="27"/>
  <c r="AS107" i="27"/>
  <c r="AT107" i="27"/>
  <c r="AU107" i="27"/>
  <c r="AV107" i="27"/>
  <c r="AD108" i="27"/>
  <c r="AE108" i="27"/>
  <c r="AF108" i="27"/>
  <c r="AG108" i="27"/>
  <c r="AH108" i="27"/>
  <c r="AI108" i="27"/>
  <c r="AJ108" i="27"/>
  <c r="AK108" i="27"/>
  <c r="AL108" i="27"/>
  <c r="AM108" i="27"/>
  <c r="AN108" i="27"/>
  <c r="AO108" i="27"/>
  <c r="AP108" i="27"/>
  <c r="AQ108" i="27"/>
  <c r="AR108" i="27"/>
  <c r="AS108" i="27"/>
  <c r="AT108" i="27"/>
  <c r="AU108" i="27"/>
  <c r="AV108" i="27"/>
  <c r="AD109" i="27"/>
  <c r="AE109" i="27"/>
  <c r="AF109" i="27"/>
  <c r="AG109" i="27"/>
  <c r="AH109" i="27"/>
  <c r="AI109" i="27"/>
  <c r="AJ109" i="27"/>
  <c r="AK109" i="27"/>
  <c r="AL109" i="27"/>
  <c r="AM109" i="27"/>
  <c r="AN109" i="27"/>
  <c r="AO109" i="27"/>
  <c r="AP109" i="27"/>
  <c r="AQ109" i="27"/>
  <c r="AR109" i="27"/>
  <c r="AS109" i="27"/>
  <c r="AT109" i="27"/>
  <c r="AU109" i="27"/>
  <c r="AV109" i="27"/>
  <c r="AD110" i="27"/>
  <c r="AE110" i="27"/>
  <c r="AF110" i="27"/>
  <c r="AG110" i="27"/>
  <c r="AH110" i="27"/>
  <c r="AI110" i="27"/>
  <c r="AJ110" i="27"/>
  <c r="AK110" i="27"/>
  <c r="AL110" i="27"/>
  <c r="AM110" i="27"/>
  <c r="AN110" i="27"/>
  <c r="AO110" i="27"/>
  <c r="AP110" i="27"/>
  <c r="AQ110" i="27"/>
  <c r="AR110" i="27"/>
  <c r="AS110" i="27"/>
  <c r="AT110" i="27"/>
  <c r="AU110" i="27"/>
  <c r="AV110" i="27"/>
  <c r="AD111" i="27"/>
  <c r="AE111" i="27"/>
  <c r="AF111" i="27"/>
  <c r="AG111" i="27"/>
  <c r="AH111" i="27"/>
  <c r="AI111" i="27"/>
  <c r="AJ111" i="27"/>
  <c r="AK111" i="27"/>
  <c r="AL111" i="27"/>
  <c r="AM111" i="27"/>
  <c r="AN111" i="27"/>
  <c r="AO111" i="27"/>
  <c r="AP111" i="27"/>
  <c r="AQ111" i="27"/>
  <c r="AR111" i="27"/>
  <c r="AS111" i="27"/>
  <c r="AT111" i="27"/>
  <c r="AU111" i="27"/>
  <c r="AV111" i="27"/>
  <c r="AD112" i="27"/>
  <c r="AE112" i="27"/>
  <c r="AF112" i="27"/>
  <c r="AG112" i="27"/>
  <c r="AH112" i="27"/>
  <c r="AI112" i="27"/>
  <c r="AJ112" i="27"/>
  <c r="AK112" i="27"/>
  <c r="AL112" i="27"/>
  <c r="AM112" i="27"/>
  <c r="AN112" i="27"/>
  <c r="AO112" i="27"/>
  <c r="AP112" i="27"/>
  <c r="AQ112" i="27"/>
  <c r="AR112" i="27"/>
  <c r="AS112" i="27"/>
  <c r="AT112" i="27"/>
  <c r="AU112" i="27"/>
  <c r="AV112" i="27"/>
  <c r="AD113" i="27"/>
  <c r="AE113" i="27"/>
  <c r="AF113" i="27"/>
  <c r="AG113" i="27"/>
  <c r="AH113" i="27"/>
  <c r="AI113" i="27"/>
  <c r="AJ113" i="27"/>
  <c r="AK113" i="27"/>
  <c r="AL113" i="27"/>
  <c r="AM113" i="27"/>
  <c r="AN113" i="27"/>
  <c r="AO113" i="27"/>
  <c r="AP113" i="27"/>
  <c r="AQ113" i="27"/>
  <c r="AR113" i="27"/>
  <c r="AS113" i="27"/>
  <c r="AT113" i="27"/>
  <c r="AU113" i="27"/>
  <c r="AV113" i="27"/>
  <c r="AD114" i="27"/>
  <c r="AE114" i="27"/>
  <c r="AF114" i="27"/>
  <c r="AG114" i="27"/>
  <c r="AH114" i="27"/>
  <c r="AI114" i="27"/>
  <c r="AJ114" i="27"/>
  <c r="AK114" i="27"/>
  <c r="AL114" i="27"/>
  <c r="AM114" i="27"/>
  <c r="AN114" i="27"/>
  <c r="AO114" i="27"/>
  <c r="AP114" i="27"/>
  <c r="AQ114" i="27"/>
  <c r="AR114" i="27"/>
  <c r="AS114" i="27"/>
  <c r="AT114" i="27"/>
  <c r="AU114" i="27"/>
  <c r="AV114" i="27"/>
  <c r="AD115" i="27"/>
  <c r="AE115" i="27"/>
  <c r="AF115" i="27"/>
  <c r="AG115" i="27"/>
  <c r="AH115" i="27"/>
  <c r="AI115" i="27"/>
  <c r="AJ115" i="27"/>
  <c r="AK115" i="27"/>
  <c r="AL115" i="27"/>
  <c r="AM115" i="27"/>
  <c r="AN115" i="27"/>
  <c r="AO115" i="27"/>
  <c r="AP115" i="27"/>
  <c r="AQ115" i="27"/>
  <c r="AR115" i="27"/>
  <c r="AS115" i="27"/>
  <c r="AT115" i="27"/>
  <c r="AU115" i="27"/>
  <c r="AV115" i="27"/>
  <c r="AD116" i="27"/>
  <c r="AE116" i="27"/>
  <c r="AF116" i="27"/>
  <c r="AG116" i="27"/>
  <c r="AH116" i="27"/>
  <c r="AI116" i="27"/>
  <c r="AJ116" i="27"/>
  <c r="AK116" i="27"/>
  <c r="AL116" i="27"/>
  <c r="AM116" i="27"/>
  <c r="AN116" i="27"/>
  <c r="AO116" i="27"/>
  <c r="AP116" i="27"/>
  <c r="AQ116" i="27"/>
  <c r="AR116" i="27"/>
  <c r="AS116" i="27"/>
  <c r="AT116" i="27"/>
  <c r="AU116" i="27"/>
  <c r="AV116" i="27"/>
  <c r="AD117" i="27"/>
  <c r="AE117" i="27"/>
  <c r="AF117" i="27"/>
  <c r="AG117" i="27"/>
  <c r="AH117" i="27"/>
  <c r="AI117" i="27"/>
  <c r="AJ117" i="27"/>
  <c r="AK117" i="27"/>
  <c r="AL117" i="27"/>
  <c r="AM117" i="27"/>
  <c r="AN117" i="27"/>
  <c r="AO117" i="27"/>
  <c r="AP117" i="27"/>
  <c r="AQ117" i="27"/>
  <c r="AR117" i="27"/>
  <c r="AS117" i="27"/>
  <c r="AT117" i="27"/>
  <c r="AU117" i="27"/>
  <c r="AV117" i="27"/>
  <c r="AD118" i="27"/>
  <c r="AE118" i="27"/>
  <c r="AF118" i="27"/>
  <c r="AG118" i="27"/>
  <c r="AH118" i="27"/>
  <c r="AI118" i="27"/>
  <c r="AJ118" i="27"/>
  <c r="AK118" i="27"/>
  <c r="AL118" i="27"/>
  <c r="AM118" i="27"/>
  <c r="AN118" i="27"/>
  <c r="AO118" i="27"/>
  <c r="AP118" i="27"/>
  <c r="AQ118" i="27"/>
  <c r="AR118" i="27"/>
  <c r="AS118" i="27"/>
  <c r="AT118" i="27"/>
  <c r="AU118" i="27"/>
  <c r="AV118" i="27"/>
  <c r="AD119" i="27"/>
  <c r="AE119" i="27"/>
  <c r="AF119" i="27"/>
  <c r="AG119" i="27"/>
  <c r="AH119" i="27"/>
  <c r="AI119" i="27"/>
  <c r="AJ119" i="27"/>
  <c r="AK119" i="27"/>
  <c r="AL119" i="27"/>
  <c r="AM119" i="27"/>
  <c r="AN119" i="27"/>
  <c r="AO119" i="27"/>
  <c r="AP119" i="27"/>
  <c r="AQ119" i="27"/>
  <c r="AR119" i="27"/>
  <c r="AS119" i="27"/>
  <c r="AT119" i="27"/>
  <c r="AU119" i="27"/>
  <c r="AV119" i="27"/>
  <c r="AD120" i="27"/>
  <c r="AE120" i="27"/>
  <c r="AF120" i="27"/>
  <c r="AG120" i="27"/>
  <c r="AH120" i="27"/>
  <c r="AI120" i="27"/>
  <c r="AJ120" i="27"/>
  <c r="AK120" i="27"/>
  <c r="AL120" i="27"/>
  <c r="AM120" i="27"/>
  <c r="AN120" i="27"/>
  <c r="AO120" i="27"/>
  <c r="AP120" i="27"/>
  <c r="AQ120" i="27"/>
  <c r="AR120" i="27"/>
  <c r="AS120" i="27"/>
  <c r="AT120" i="27"/>
  <c r="AU120" i="27"/>
  <c r="AV120" i="27"/>
  <c r="AD121" i="27"/>
  <c r="AE121" i="27"/>
  <c r="AF121" i="27"/>
  <c r="AG121" i="27"/>
  <c r="AH121" i="27"/>
  <c r="AI121" i="27"/>
  <c r="AJ121" i="27"/>
  <c r="AK121" i="27"/>
  <c r="AL121" i="27"/>
  <c r="AM121" i="27"/>
  <c r="AN121" i="27"/>
  <c r="AO121" i="27"/>
  <c r="AP121" i="27"/>
  <c r="AQ121" i="27"/>
  <c r="AR121" i="27"/>
  <c r="AB121" i="27" s="1"/>
  <c r="AS121" i="27"/>
  <c r="AT121" i="27"/>
  <c r="AU121" i="27"/>
  <c r="AV121" i="27"/>
  <c r="AD122" i="27"/>
  <c r="AE122" i="27"/>
  <c r="AF122" i="27"/>
  <c r="AG122" i="27"/>
  <c r="AH122" i="27"/>
  <c r="AI122" i="27"/>
  <c r="AJ122" i="27"/>
  <c r="AK122" i="27"/>
  <c r="AL122" i="27"/>
  <c r="AM122" i="27"/>
  <c r="AN122" i="27"/>
  <c r="AO122" i="27"/>
  <c r="AP122" i="27"/>
  <c r="AQ122" i="27"/>
  <c r="AR122" i="27"/>
  <c r="AS122" i="27"/>
  <c r="AT122" i="27"/>
  <c r="AU122" i="27"/>
  <c r="AV122" i="27"/>
  <c r="AD123" i="27"/>
  <c r="AE123" i="27"/>
  <c r="AF123" i="27"/>
  <c r="AG123" i="27"/>
  <c r="AH123" i="27"/>
  <c r="AI123" i="27"/>
  <c r="AJ123" i="27"/>
  <c r="AK123" i="27"/>
  <c r="AL123" i="27"/>
  <c r="AM123" i="27"/>
  <c r="AN123" i="27"/>
  <c r="AO123" i="27"/>
  <c r="AP123" i="27"/>
  <c r="AQ123" i="27"/>
  <c r="AR123" i="27"/>
  <c r="AS123" i="27"/>
  <c r="AT123" i="27"/>
  <c r="AU123" i="27"/>
  <c r="AV123" i="27"/>
  <c r="AD124" i="27"/>
  <c r="AE124" i="27"/>
  <c r="AF124" i="27"/>
  <c r="AG124" i="27"/>
  <c r="AH124" i="27"/>
  <c r="AI124" i="27"/>
  <c r="AJ124" i="27"/>
  <c r="AK124" i="27"/>
  <c r="AL124" i="27"/>
  <c r="AM124" i="27"/>
  <c r="AN124" i="27"/>
  <c r="AO124" i="27"/>
  <c r="AP124" i="27"/>
  <c r="AQ124" i="27"/>
  <c r="AR124" i="27"/>
  <c r="AS124" i="27"/>
  <c r="AT124" i="27"/>
  <c r="AU124" i="27"/>
  <c r="AV124" i="27"/>
  <c r="AD125" i="27"/>
  <c r="AE125" i="27"/>
  <c r="AF125" i="27"/>
  <c r="O125" i="27" s="1"/>
  <c r="AG125" i="27"/>
  <c r="AH125" i="27"/>
  <c r="AI125" i="27"/>
  <c r="AJ125" i="27"/>
  <c r="AK125" i="27"/>
  <c r="AL125" i="27"/>
  <c r="AM125" i="27"/>
  <c r="AN125" i="27"/>
  <c r="AO125" i="27"/>
  <c r="AP125" i="27"/>
  <c r="AQ125" i="27"/>
  <c r="AR125" i="27"/>
  <c r="AS125" i="27"/>
  <c r="AT125" i="27"/>
  <c r="AU125" i="27"/>
  <c r="AV125" i="27"/>
  <c r="AD126" i="27"/>
  <c r="AE126" i="27"/>
  <c r="AF126" i="27"/>
  <c r="AG126" i="27"/>
  <c r="AH126" i="27"/>
  <c r="AI126" i="27"/>
  <c r="AJ126" i="27"/>
  <c r="AK126" i="27"/>
  <c r="AL126" i="27"/>
  <c r="AM126" i="27"/>
  <c r="AN126" i="27"/>
  <c r="AO126" i="27"/>
  <c r="AP126" i="27"/>
  <c r="AQ126" i="27"/>
  <c r="AR126" i="27"/>
  <c r="AS126" i="27"/>
  <c r="AT126" i="27"/>
  <c r="AU126" i="27"/>
  <c r="AV126" i="27"/>
  <c r="AD127" i="27"/>
  <c r="AE127" i="27"/>
  <c r="AF127" i="27"/>
  <c r="AG127" i="27"/>
  <c r="AH127" i="27"/>
  <c r="AI127" i="27"/>
  <c r="AJ127" i="27"/>
  <c r="AK127" i="27"/>
  <c r="AL127" i="27"/>
  <c r="AM127" i="27"/>
  <c r="AN127" i="27"/>
  <c r="AO127" i="27"/>
  <c r="AP127" i="27"/>
  <c r="AQ127" i="27"/>
  <c r="AR127" i="27"/>
  <c r="AS127" i="27"/>
  <c r="AT127" i="27"/>
  <c r="AU127" i="27"/>
  <c r="AV127" i="27"/>
  <c r="AD128" i="27"/>
  <c r="AE128" i="27"/>
  <c r="AF128" i="27"/>
  <c r="AG128" i="27"/>
  <c r="AH128" i="27"/>
  <c r="AI128" i="27"/>
  <c r="AJ128" i="27"/>
  <c r="AK128" i="27"/>
  <c r="AL128" i="27"/>
  <c r="AM128" i="27"/>
  <c r="AN128" i="27"/>
  <c r="AO128" i="27"/>
  <c r="AP128" i="27"/>
  <c r="AQ128" i="27"/>
  <c r="AR128" i="27"/>
  <c r="AS128" i="27"/>
  <c r="AT128" i="27"/>
  <c r="AU128" i="27"/>
  <c r="AV128" i="27"/>
  <c r="AD129" i="27"/>
  <c r="AE129" i="27"/>
  <c r="AF129" i="27"/>
  <c r="AG129" i="27"/>
  <c r="AH129" i="27"/>
  <c r="AI129" i="27"/>
  <c r="AJ129" i="27"/>
  <c r="AK129" i="27"/>
  <c r="AL129" i="27"/>
  <c r="AM129" i="27"/>
  <c r="AN129" i="27"/>
  <c r="AO129" i="27"/>
  <c r="AP129" i="27"/>
  <c r="AQ129" i="27"/>
  <c r="AR129" i="27"/>
  <c r="AS129" i="27"/>
  <c r="AT129" i="27"/>
  <c r="AU129" i="27"/>
  <c r="AV129" i="27"/>
  <c r="AV2" i="27"/>
  <c r="AU2" i="27"/>
  <c r="AT2" i="27"/>
  <c r="AS2" i="27"/>
  <c r="AR2" i="27"/>
  <c r="AQ2" i="27"/>
  <c r="AP2" i="27"/>
  <c r="AO2" i="27"/>
  <c r="AN2" i="27"/>
  <c r="AM2" i="27"/>
  <c r="AL2" i="27"/>
  <c r="AK2" i="27"/>
  <c r="AJ2" i="27"/>
  <c r="AI2" i="27"/>
  <c r="AH2" i="27"/>
  <c r="AG2" i="27"/>
  <c r="AF2" i="27"/>
  <c r="AE2" i="27"/>
  <c r="AD2" i="27"/>
  <c r="U3" i="27"/>
  <c r="U4" i="27"/>
  <c r="U5" i="27"/>
  <c r="U6" i="27"/>
  <c r="U7" i="27"/>
  <c r="U8" i="27"/>
  <c r="U9" i="27"/>
  <c r="U10" i="27"/>
  <c r="U11" i="27"/>
  <c r="U12" i="27"/>
  <c r="U13" i="27"/>
  <c r="U14" i="27"/>
  <c r="U15" i="27"/>
  <c r="U16" i="27"/>
  <c r="U17" i="27"/>
  <c r="U18" i="27"/>
  <c r="U19" i="27"/>
  <c r="U20" i="27"/>
  <c r="U21" i="27"/>
  <c r="U22" i="27"/>
  <c r="U23" i="27"/>
  <c r="U24" i="27"/>
  <c r="U25" i="27"/>
  <c r="U26" i="27"/>
  <c r="U27" i="27"/>
  <c r="U28" i="27"/>
  <c r="U29" i="27"/>
  <c r="U30" i="27"/>
  <c r="U31" i="27"/>
  <c r="U32" i="27"/>
  <c r="U33" i="27"/>
  <c r="U34" i="27"/>
  <c r="U35" i="27"/>
  <c r="U36" i="27"/>
  <c r="U37" i="27"/>
  <c r="U38" i="27"/>
  <c r="U39" i="27"/>
  <c r="U40" i="27"/>
  <c r="U41" i="27"/>
  <c r="U42" i="27"/>
  <c r="U43" i="27"/>
  <c r="U44" i="27"/>
  <c r="U45" i="27"/>
  <c r="U46" i="27"/>
  <c r="U47" i="27"/>
  <c r="U48" i="27"/>
  <c r="U49" i="27"/>
  <c r="U50" i="27"/>
  <c r="U51" i="27"/>
  <c r="U52" i="27"/>
  <c r="U53" i="27"/>
  <c r="U54" i="27"/>
  <c r="U55" i="27"/>
  <c r="U56" i="27"/>
  <c r="U57" i="27"/>
  <c r="U58" i="27"/>
  <c r="U59" i="27"/>
  <c r="U60" i="27"/>
  <c r="U61" i="27"/>
  <c r="U62" i="27"/>
  <c r="U63" i="27"/>
  <c r="U64" i="27"/>
  <c r="U65" i="27"/>
  <c r="U66" i="27"/>
  <c r="U67" i="27"/>
  <c r="U68" i="27"/>
  <c r="U69" i="27"/>
  <c r="U70" i="27"/>
  <c r="U71" i="27"/>
  <c r="U72" i="27"/>
  <c r="U73" i="27"/>
  <c r="U74" i="27"/>
  <c r="U75" i="27"/>
  <c r="U76" i="27"/>
  <c r="U77" i="27"/>
  <c r="U78" i="27"/>
  <c r="U79" i="27"/>
  <c r="U80" i="27"/>
  <c r="U81" i="27"/>
  <c r="U82" i="27"/>
  <c r="U83" i="27"/>
  <c r="U84" i="27"/>
  <c r="U85" i="27"/>
  <c r="U86" i="27"/>
  <c r="U87" i="27"/>
  <c r="U88" i="27"/>
  <c r="U89" i="27"/>
  <c r="U90" i="27"/>
  <c r="U91" i="27"/>
  <c r="U92" i="27"/>
  <c r="U93" i="27"/>
  <c r="U94" i="27"/>
  <c r="U95" i="27"/>
  <c r="U96" i="27"/>
  <c r="U97" i="27"/>
  <c r="U98" i="27"/>
  <c r="U99" i="27"/>
  <c r="U100" i="27"/>
  <c r="U101" i="27"/>
  <c r="U102" i="27"/>
  <c r="U103" i="27"/>
  <c r="U104" i="27"/>
  <c r="U105" i="27"/>
  <c r="U106" i="27"/>
  <c r="U107" i="27"/>
  <c r="U108" i="27"/>
  <c r="U109" i="27"/>
  <c r="U110" i="27"/>
  <c r="U111" i="27"/>
  <c r="U112" i="27"/>
  <c r="U113" i="27"/>
  <c r="U114" i="27"/>
  <c r="U115" i="27"/>
  <c r="U116" i="27"/>
  <c r="U117" i="27"/>
  <c r="U118" i="27"/>
  <c r="U119" i="27"/>
  <c r="U120" i="27"/>
  <c r="U121" i="27"/>
  <c r="U122" i="27"/>
  <c r="U123" i="27"/>
  <c r="U124" i="27"/>
  <c r="U125" i="27"/>
  <c r="U126" i="27"/>
  <c r="U127" i="27"/>
  <c r="U128" i="27"/>
  <c r="U129" i="27"/>
  <c r="U2" i="27"/>
  <c r="T3" i="27"/>
  <c r="T4" i="27"/>
  <c r="T7" i="27"/>
  <c r="T8" i="27"/>
  <c r="T12" i="27"/>
  <c r="T13" i="27"/>
  <c r="T14" i="27"/>
  <c r="T15" i="27"/>
  <c r="T17" i="27"/>
  <c r="T18" i="27"/>
  <c r="T19" i="27"/>
  <c r="T20" i="27"/>
  <c r="T22" i="27"/>
  <c r="T23" i="27"/>
  <c r="T24" i="27"/>
  <c r="T25" i="27"/>
  <c r="T27" i="27"/>
  <c r="T28" i="27"/>
  <c r="T29" i="27"/>
  <c r="T30" i="27"/>
  <c r="T32" i="27"/>
  <c r="T34" i="27"/>
  <c r="T35" i="27"/>
  <c r="T37" i="27"/>
  <c r="T39" i="27"/>
  <c r="T41" i="27"/>
  <c r="T43" i="27"/>
  <c r="T45" i="27"/>
  <c r="T47" i="27"/>
  <c r="T49" i="27"/>
  <c r="T50" i="27"/>
  <c r="T51" i="27"/>
  <c r="T53" i="27"/>
  <c r="T54" i="27"/>
  <c r="T55" i="27"/>
  <c r="T59" i="27"/>
  <c r="T60" i="27"/>
  <c r="T61" i="27"/>
  <c r="T62" i="27"/>
  <c r="T64" i="27"/>
  <c r="T65" i="27"/>
  <c r="T66" i="27"/>
  <c r="T67" i="27"/>
  <c r="T68" i="27"/>
  <c r="T70" i="27"/>
  <c r="T71" i="27"/>
  <c r="T73" i="27"/>
  <c r="T74" i="27"/>
  <c r="T75" i="27"/>
  <c r="T76" i="27"/>
  <c r="T77" i="27"/>
  <c r="T79" i="27"/>
  <c r="T80" i="27"/>
  <c r="T81" i="27"/>
  <c r="T82" i="27"/>
  <c r="T83" i="27"/>
  <c r="T84" i="27"/>
  <c r="T85" i="27"/>
  <c r="T87" i="27"/>
  <c r="T88" i="27"/>
  <c r="T90" i="27"/>
  <c r="T92" i="27"/>
  <c r="T94" i="27"/>
  <c r="T96" i="27"/>
  <c r="T98" i="27"/>
  <c r="T100" i="27"/>
  <c r="T104" i="27"/>
  <c r="T105" i="27"/>
  <c r="T106" i="27"/>
  <c r="T109" i="27"/>
  <c r="T110" i="27"/>
  <c r="T112" i="27"/>
  <c r="T113" i="27"/>
  <c r="T114" i="27"/>
  <c r="T115" i="27"/>
  <c r="T116" i="27"/>
  <c r="T117" i="27"/>
  <c r="T120" i="27"/>
  <c r="T121" i="27"/>
  <c r="T123" i="27"/>
  <c r="T124" i="27"/>
  <c r="T125" i="27"/>
  <c r="T126" i="27"/>
  <c r="T127" i="27"/>
  <c r="T128" i="27"/>
  <c r="T129" i="27"/>
  <c r="T2" i="27"/>
  <c r="S3" i="27"/>
  <c r="S4" i="27"/>
  <c r="S5" i="27"/>
  <c r="S6" i="27"/>
  <c r="S7" i="27"/>
  <c r="S8" i="27"/>
  <c r="S9" i="27"/>
  <c r="S10" i="27"/>
  <c r="S11" i="27"/>
  <c r="S12" i="27"/>
  <c r="S13" i="27"/>
  <c r="S14" i="27"/>
  <c r="S15" i="27"/>
  <c r="S16" i="27"/>
  <c r="S17" i="27"/>
  <c r="S18" i="27"/>
  <c r="S19" i="27"/>
  <c r="S20" i="27"/>
  <c r="S21" i="27"/>
  <c r="S22" i="27"/>
  <c r="S23" i="27"/>
  <c r="S24" i="27"/>
  <c r="S25" i="27"/>
  <c r="S26" i="27"/>
  <c r="S27" i="27"/>
  <c r="S28" i="27"/>
  <c r="S29" i="27"/>
  <c r="S30" i="27"/>
  <c r="S31" i="27"/>
  <c r="S32" i="27"/>
  <c r="S33" i="27"/>
  <c r="S34" i="27"/>
  <c r="S35" i="27"/>
  <c r="S36" i="27"/>
  <c r="S37" i="27"/>
  <c r="S38" i="27"/>
  <c r="S39" i="27"/>
  <c r="S40" i="27"/>
  <c r="S41" i="27"/>
  <c r="S42" i="27"/>
  <c r="S43" i="27"/>
  <c r="S44" i="27"/>
  <c r="S45" i="27"/>
  <c r="S46" i="27"/>
  <c r="S47" i="27"/>
  <c r="S48" i="27"/>
  <c r="S49" i="27"/>
  <c r="S50" i="27"/>
  <c r="S51" i="27"/>
  <c r="S52" i="27"/>
  <c r="S53" i="27"/>
  <c r="S54" i="27"/>
  <c r="S55" i="27"/>
  <c r="S56" i="27"/>
  <c r="S57" i="27"/>
  <c r="S58" i="27"/>
  <c r="S59" i="27"/>
  <c r="S60" i="27"/>
  <c r="S61" i="27"/>
  <c r="S62" i="27"/>
  <c r="S63" i="27"/>
  <c r="S64" i="27"/>
  <c r="S65" i="27"/>
  <c r="S66" i="27"/>
  <c r="S67" i="27"/>
  <c r="S68" i="27"/>
  <c r="S69" i="27"/>
  <c r="S70" i="27"/>
  <c r="S71" i="27"/>
  <c r="S72" i="27"/>
  <c r="S73" i="27"/>
  <c r="S74" i="27"/>
  <c r="S75" i="27"/>
  <c r="S76" i="27"/>
  <c r="S77" i="27"/>
  <c r="S78" i="27"/>
  <c r="S79" i="27"/>
  <c r="S80" i="27"/>
  <c r="S81" i="27"/>
  <c r="S82" i="27"/>
  <c r="S83" i="27"/>
  <c r="S84" i="27"/>
  <c r="S85" i="27"/>
  <c r="S86" i="27"/>
  <c r="S87" i="27"/>
  <c r="S88" i="27"/>
  <c r="S89" i="27"/>
  <c r="S90" i="27"/>
  <c r="S91" i="27"/>
  <c r="S92" i="27"/>
  <c r="S93" i="27"/>
  <c r="S94" i="27"/>
  <c r="S95" i="27"/>
  <c r="S96" i="27"/>
  <c r="S97" i="27"/>
  <c r="S98" i="27"/>
  <c r="S99" i="27"/>
  <c r="S100" i="27"/>
  <c r="S101" i="27"/>
  <c r="S102" i="27"/>
  <c r="S103" i="27"/>
  <c r="S104" i="27"/>
  <c r="S105" i="27"/>
  <c r="S106" i="27"/>
  <c r="S107" i="27"/>
  <c r="S108" i="27"/>
  <c r="S109" i="27"/>
  <c r="S110" i="27"/>
  <c r="S111" i="27"/>
  <c r="S112" i="27"/>
  <c r="S113" i="27"/>
  <c r="S114" i="27"/>
  <c r="S115" i="27"/>
  <c r="S116" i="27"/>
  <c r="S117" i="27"/>
  <c r="S118" i="27"/>
  <c r="S119" i="27"/>
  <c r="S120" i="27"/>
  <c r="S121" i="27"/>
  <c r="S122" i="27"/>
  <c r="S123" i="27"/>
  <c r="S124" i="27"/>
  <c r="S125" i="27"/>
  <c r="S126" i="27"/>
  <c r="S127" i="27"/>
  <c r="S128" i="27"/>
  <c r="S129" i="27"/>
  <c r="S2" i="27"/>
  <c r="R2" i="27"/>
  <c r="Q2" i="27"/>
  <c r="P2" i="27"/>
  <c r="J2" i="27"/>
  <c r="I2" i="27"/>
  <c r="H2" i="27"/>
  <c r="G2" i="27"/>
  <c r="E3" i="27"/>
  <c r="E4" i="27"/>
  <c r="E5" i="27"/>
  <c r="E6" i="27"/>
  <c r="E7" i="27"/>
  <c r="E8" i="27"/>
  <c r="E9" i="27"/>
  <c r="E10" i="27"/>
  <c r="E11" i="27"/>
  <c r="E12" i="27"/>
  <c r="E13" i="27"/>
  <c r="E14" i="27"/>
  <c r="E15" i="27"/>
  <c r="E16" i="27"/>
  <c r="E17" i="27"/>
  <c r="E18" i="27"/>
  <c r="E19" i="27"/>
  <c r="E20" i="27"/>
  <c r="E21" i="27"/>
  <c r="E22" i="27"/>
  <c r="E23" i="27"/>
  <c r="E24" i="27"/>
  <c r="E25" i="27"/>
  <c r="E26" i="27"/>
  <c r="E27" i="27"/>
  <c r="E28" i="27"/>
  <c r="E29" i="27"/>
  <c r="E30" i="27"/>
  <c r="E31" i="27"/>
  <c r="E32" i="27"/>
  <c r="E33" i="27"/>
  <c r="E34" i="27"/>
  <c r="E35" i="27"/>
  <c r="E36" i="27"/>
  <c r="E37" i="27"/>
  <c r="E38" i="27"/>
  <c r="E39" i="27"/>
  <c r="E40" i="27"/>
  <c r="E41" i="27"/>
  <c r="E42" i="27"/>
  <c r="E43" i="27"/>
  <c r="E44" i="27"/>
  <c r="E45" i="27"/>
  <c r="E46" i="27"/>
  <c r="E47" i="27"/>
  <c r="E48" i="27"/>
  <c r="E49" i="27"/>
  <c r="E50" i="27"/>
  <c r="E51" i="27"/>
  <c r="E52" i="27"/>
  <c r="E53" i="27"/>
  <c r="E54" i="27"/>
  <c r="E55" i="27"/>
  <c r="E56" i="27"/>
  <c r="E57" i="27"/>
  <c r="E58" i="27"/>
  <c r="E59" i="27"/>
  <c r="E60" i="27"/>
  <c r="E61" i="27"/>
  <c r="E62" i="27"/>
  <c r="E63" i="27"/>
  <c r="E64" i="27"/>
  <c r="E65" i="27"/>
  <c r="E66" i="27"/>
  <c r="E67" i="27"/>
  <c r="E68" i="27"/>
  <c r="E69" i="27"/>
  <c r="E70" i="27"/>
  <c r="E71" i="27"/>
  <c r="E72" i="27"/>
  <c r="E73" i="27"/>
  <c r="E74" i="27"/>
  <c r="E75" i="27"/>
  <c r="E76" i="27"/>
  <c r="E77" i="27"/>
  <c r="E78" i="27"/>
  <c r="E79" i="27"/>
  <c r="E80" i="27"/>
  <c r="E81" i="27"/>
  <c r="E82" i="27"/>
  <c r="E83" i="27"/>
  <c r="E84" i="27"/>
  <c r="E85" i="27"/>
  <c r="E86" i="27"/>
  <c r="E87" i="27"/>
  <c r="E88" i="27"/>
  <c r="E89" i="27"/>
  <c r="E90" i="27"/>
  <c r="E91" i="27"/>
  <c r="E92" i="27"/>
  <c r="E93" i="27"/>
  <c r="E94" i="27"/>
  <c r="E95" i="27"/>
  <c r="E96" i="27"/>
  <c r="E97" i="27"/>
  <c r="E98" i="27"/>
  <c r="E99" i="27"/>
  <c r="E100" i="27"/>
  <c r="E101" i="27"/>
  <c r="E102" i="27"/>
  <c r="E103" i="27"/>
  <c r="E104" i="27"/>
  <c r="E105" i="27"/>
  <c r="E106" i="27"/>
  <c r="E107" i="27"/>
  <c r="E108" i="27"/>
  <c r="E109" i="27"/>
  <c r="E110" i="27"/>
  <c r="E111" i="27"/>
  <c r="E112" i="27"/>
  <c r="E113" i="27"/>
  <c r="E114" i="27"/>
  <c r="E115" i="27"/>
  <c r="E116" i="27"/>
  <c r="E117" i="27"/>
  <c r="E118" i="27"/>
  <c r="E119" i="27"/>
  <c r="E120" i="27"/>
  <c r="E121" i="27"/>
  <c r="E122" i="27"/>
  <c r="E123" i="27"/>
  <c r="E124" i="27"/>
  <c r="E125" i="27"/>
  <c r="E126" i="27"/>
  <c r="E127" i="27"/>
  <c r="E128" i="27"/>
  <c r="E129" i="27"/>
  <c r="E2" i="27"/>
  <c r="F3" i="27"/>
  <c r="F4" i="27"/>
  <c r="F5" i="27"/>
  <c r="F6" i="27"/>
  <c r="F7" i="27"/>
  <c r="F8" i="27"/>
  <c r="F9" i="27"/>
  <c r="F10" i="27"/>
  <c r="F11" i="27"/>
  <c r="F12" i="27"/>
  <c r="F13" i="27"/>
  <c r="F14" i="27"/>
  <c r="F15" i="27"/>
  <c r="F16" i="27"/>
  <c r="F17" i="27"/>
  <c r="F18" i="27"/>
  <c r="F19" i="27"/>
  <c r="F20" i="27"/>
  <c r="F21" i="27"/>
  <c r="F22" i="27"/>
  <c r="F23" i="27"/>
  <c r="F24" i="27"/>
  <c r="F25" i="27"/>
  <c r="F26" i="27"/>
  <c r="F27" i="27"/>
  <c r="F28" i="27"/>
  <c r="F29" i="27"/>
  <c r="F30" i="27"/>
  <c r="F31" i="27"/>
  <c r="F32" i="27"/>
  <c r="F33" i="27"/>
  <c r="F34" i="27"/>
  <c r="F35" i="27"/>
  <c r="F36" i="27"/>
  <c r="F37" i="27"/>
  <c r="F38" i="27"/>
  <c r="F39" i="27"/>
  <c r="F40" i="27"/>
  <c r="F41" i="27"/>
  <c r="F42" i="27"/>
  <c r="F43" i="27"/>
  <c r="F44" i="27"/>
  <c r="F45" i="27"/>
  <c r="F46" i="27"/>
  <c r="F47" i="27"/>
  <c r="F48" i="27"/>
  <c r="F49" i="27"/>
  <c r="F50" i="27"/>
  <c r="F51" i="27"/>
  <c r="F52" i="27"/>
  <c r="F53" i="27"/>
  <c r="F54" i="27"/>
  <c r="F55" i="27"/>
  <c r="F56" i="27"/>
  <c r="F57" i="27"/>
  <c r="F58" i="27"/>
  <c r="F59" i="27"/>
  <c r="F60" i="27"/>
  <c r="F61" i="27"/>
  <c r="F62" i="27"/>
  <c r="F63" i="27"/>
  <c r="F64" i="27"/>
  <c r="F65" i="27"/>
  <c r="F66" i="27"/>
  <c r="F67" i="27"/>
  <c r="F68" i="27"/>
  <c r="F69" i="27"/>
  <c r="F70" i="27"/>
  <c r="F71" i="27"/>
  <c r="F72" i="27"/>
  <c r="F73" i="27"/>
  <c r="F74" i="27"/>
  <c r="F75" i="27"/>
  <c r="F76" i="27"/>
  <c r="F77" i="27"/>
  <c r="F78" i="27"/>
  <c r="F79" i="27"/>
  <c r="F80" i="27"/>
  <c r="F81" i="27"/>
  <c r="F82" i="27"/>
  <c r="F83" i="27"/>
  <c r="F84" i="27"/>
  <c r="F85" i="27"/>
  <c r="F86" i="27"/>
  <c r="F87" i="27"/>
  <c r="F88" i="27"/>
  <c r="F89" i="27"/>
  <c r="F90" i="27"/>
  <c r="F91" i="27"/>
  <c r="F92" i="27"/>
  <c r="F93" i="27"/>
  <c r="F94" i="27"/>
  <c r="F95" i="27"/>
  <c r="F96" i="27"/>
  <c r="F97" i="27"/>
  <c r="F98" i="27"/>
  <c r="F99" i="27"/>
  <c r="F100" i="27"/>
  <c r="F101" i="27"/>
  <c r="F102" i="27"/>
  <c r="F103" i="27"/>
  <c r="F104" i="27"/>
  <c r="F105" i="27"/>
  <c r="F106" i="27"/>
  <c r="F107" i="27"/>
  <c r="F108" i="27"/>
  <c r="F109" i="27"/>
  <c r="F110" i="27"/>
  <c r="F111" i="27"/>
  <c r="F112" i="27"/>
  <c r="F113" i="27"/>
  <c r="F114" i="27"/>
  <c r="F115" i="27"/>
  <c r="F116" i="27"/>
  <c r="F117" i="27"/>
  <c r="F118" i="27"/>
  <c r="F119" i="27"/>
  <c r="F120" i="27"/>
  <c r="F121" i="27"/>
  <c r="F122" i="27"/>
  <c r="F123" i="27"/>
  <c r="F124" i="27"/>
  <c r="F125" i="27"/>
  <c r="F126" i="27"/>
  <c r="F127" i="27"/>
  <c r="F128" i="27"/>
  <c r="F129" i="27"/>
  <c r="F2" i="27"/>
  <c r="H14" i="40" l="1" a="1"/>
  <c r="H14" i="40" s="1"/>
  <c r="E22" i="40" a="1"/>
  <c r="E22" i="40" s="1"/>
  <c r="O84" i="27"/>
  <c r="T99" i="27"/>
  <c r="AC92" i="27"/>
  <c r="T57" i="27"/>
  <c r="V96" i="27"/>
  <c r="T2" i="36"/>
  <c r="AB34" i="27"/>
  <c r="AB44" i="27"/>
  <c r="L8" i="27"/>
  <c r="L22" i="27"/>
  <c r="AB4" i="27"/>
  <c r="V43" i="27"/>
  <c r="V70" i="27"/>
  <c r="V56" i="27"/>
  <c r="AC109" i="27"/>
  <c r="O109" i="27"/>
  <c r="AC95" i="27"/>
  <c r="AC81" i="27"/>
  <c r="O14" i="27"/>
  <c r="T31" i="27"/>
  <c r="M74" i="27"/>
  <c r="L98" i="27"/>
  <c r="L84" i="27"/>
  <c r="T86" i="27"/>
  <c r="K98" i="27"/>
  <c r="L108" i="27"/>
  <c r="V85" i="27"/>
  <c r="O102" i="27"/>
  <c r="V79" i="27"/>
  <c r="AC74" i="27"/>
  <c r="O32" i="27"/>
  <c r="V23" i="27"/>
  <c r="AC126" i="27"/>
  <c r="M11" i="27"/>
  <c r="AB19" i="27"/>
  <c r="O73" i="27"/>
  <c r="Z126" i="27"/>
  <c r="V2" i="27"/>
  <c r="V129" i="27"/>
  <c r="AB79" i="27"/>
  <c r="AB42" i="27"/>
  <c r="V90" i="27"/>
  <c r="M79" i="27"/>
  <c r="V6" i="27"/>
  <c r="L128" i="27"/>
  <c r="L114" i="27"/>
  <c r="V98" i="27"/>
  <c r="Z66" i="27"/>
  <c r="AB83" i="27"/>
  <c r="T56" i="27"/>
  <c r="T42" i="27"/>
  <c r="Z96" i="27"/>
  <c r="AB84" i="27"/>
  <c r="AB28" i="27"/>
  <c r="AB92" i="27"/>
  <c r="O33" i="27"/>
  <c r="L30" i="27"/>
  <c r="AB100" i="27"/>
  <c r="O69" i="27"/>
  <c r="O13" i="27"/>
  <c r="L122" i="27"/>
  <c r="AC90" i="27"/>
  <c r="O90" i="27"/>
  <c r="AC68" i="27"/>
  <c r="O40" i="27"/>
  <c r="L45" i="27"/>
  <c r="L31" i="27"/>
  <c r="N2" i="27"/>
  <c r="Y2" i="27" s="1"/>
  <c r="N99" i="27"/>
  <c r="AA99" i="27" s="1"/>
  <c r="X95" i="27"/>
  <c r="T78" i="27"/>
  <c r="T36" i="27"/>
  <c r="W28" i="27"/>
  <c r="Z23" i="27"/>
  <c r="W96" i="27"/>
  <c r="L99" i="27"/>
  <c r="M119" i="27"/>
  <c r="K22" i="27"/>
  <c r="T119" i="27"/>
  <c r="W67" i="27"/>
  <c r="AC54" i="27"/>
  <c r="O9" i="27"/>
  <c r="O31" i="27"/>
  <c r="L126" i="27"/>
  <c r="L80" i="27"/>
  <c r="L10" i="27"/>
  <c r="N8" i="27"/>
  <c r="AA8" i="27" s="1"/>
  <c r="AB96" i="27"/>
  <c r="O123" i="27"/>
  <c r="O77" i="27"/>
  <c r="L74" i="27"/>
  <c r="AB87" i="27"/>
  <c r="AC100" i="27"/>
  <c r="V102" i="27"/>
  <c r="AC36" i="27"/>
  <c r="O36" i="27"/>
  <c r="W35" i="27"/>
  <c r="AB25" i="27"/>
  <c r="AB11" i="27"/>
  <c r="N123" i="27"/>
  <c r="Y123" i="27" s="1"/>
  <c r="W124" i="27"/>
  <c r="V112" i="27"/>
  <c r="AC108" i="27"/>
  <c r="O75" i="27"/>
  <c r="L69" i="27"/>
  <c r="AB36" i="27"/>
  <c r="AC5" i="27"/>
  <c r="K108" i="27"/>
  <c r="L90" i="27"/>
  <c r="M80" i="27"/>
  <c r="L11" i="27"/>
  <c r="AB127" i="27"/>
  <c r="L52" i="27"/>
  <c r="W40" i="27"/>
  <c r="Z118" i="27"/>
  <c r="W129" i="27"/>
  <c r="Z100" i="27"/>
  <c r="W41" i="27"/>
  <c r="AC123" i="27"/>
  <c r="O63" i="27"/>
  <c r="L57" i="27"/>
  <c r="L43" i="27"/>
  <c r="T111" i="27"/>
  <c r="AC98" i="27"/>
  <c r="L95" i="27"/>
  <c r="W97" i="27"/>
  <c r="AC73" i="27"/>
  <c r="O100" i="27"/>
  <c r="T72" i="27"/>
  <c r="T58" i="27"/>
  <c r="T44" i="27"/>
  <c r="T16" i="27"/>
  <c r="N65" i="27"/>
  <c r="AA65" i="27" s="1"/>
  <c r="N37" i="27"/>
  <c r="Y37" i="27" s="1"/>
  <c r="N54" i="27"/>
  <c r="Y54" i="27" s="1"/>
  <c r="L50" i="27"/>
  <c r="K64" i="27"/>
  <c r="N50" i="27"/>
  <c r="Y50" i="27" s="1"/>
  <c r="K36" i="27"/>
  <c r="L49" i="27"/>
  <c r="Z39" i="27"/>
  <c r="L35" i="27"/>
  <c r="K63" i="27"/>
  <c r="M7" i="27"/>
  <c r="W37" i="27"/>
  <c r="L32" i="27"/>
  <c r="V29" i="27"/>
  <c r="K34" i="27"/>
  <c r="L117" i="27"/>
  <c r="AB112" i="27"/>
  <c r="W62" i="27"/>
  <c r="N75" i="27"/>
  <c r="Y75" i="27" s="1"/>
  <c r="V125" i="27"/>
  <c r="O96" i="27"/>
  <c r="AB63" i="27"/>
  <c r="W63" i="27"/>
  <c r="V51" i="27"/>
  <c r="AB49" i="27"/>
  <c r="V37" i="27"/>
  <c r="W81" i="27"/>
  <c r="AB74" i="27"/>
  <c r="L65" i="27"/>
  <c r="AB60" i="27"/>
  <c r="L51" i="27"/>
  <c r="AB46" i="27"/>
  <c r="AB32" i="27"/>
  <c r="AC12" i="27"/>
  <c r="AB33" i="27"/>
  <c r="AC105" i="27"/>
  <c r="T102" i="27"/>
  <c r="AB105" i="27"/>
  <c r="AC70" i="27"/>
  <c r="O70" i="27"/>
  <c r="AC59" i="27"/>
  <c r="O59" i="27"/>
  <c r="AB35" i="27"/>
  <c r="W16" i="27"/>
  <c r="N79" i="27"/>
  <c r="Y79" i="27" s="1"/>
  <c r="K71" i="27"/>
  <c r="K43" i="27"/>
  <c r="K29" i="27"/>
  <c r="K15" i="27"/>
  <c r="AC2" i="27"/>
  <c r="AC117" i="27"/>
  <c r="O117" i="27"/>
  <c r="AC114" i="27"/>
  <c r="Z95" i="27"/>
  <c r="AC94" i="27"/>
  <c r="AC86" i="27"/>
  <c r="L83" i="27"/>
  <c r="AB81" i="27"/>
  <c r="AB70" i="27"/>
  <c r="W70" i="27"/>
  <c r="L64" i="27"/>
  <c r="AB59" i="27"/>
  <c r="AC56" i="27"/>
  <c r="O56" i="27"/>
  <c r="V34" i="27"/>
  <c r="O29" i="27"/>
  <c r="V12" i="27"/>
  <c r="O19" i="27"/>
  <c r="X117" i="27"/>
  <c r="AB68" i="27"/>
  <c r="O35" i="27"/>
  <c r="AB27" i="27"/>
  <c r="W117" i="27"/>
  <c r="AB56" i="27"/>
  <c r="L34" i="27"/>
  <c r="AB21" i="27"/>
  <c r="V77" i="27"/>
  <c r="W14" i="27"/>
  <c r="AB67" i="27"/>
  <c r="AB107" i="27"/>
  <c r="Z102" i="27"/>
  <c r="AB53" i="27"/>
  <c r="L113" i="27"/>
  <c r="W79" i="27"/>
  <c r="L44" i="27"/>
  <c r="V41" i="27"/>
  <c r="V17" i="27"/>
  <c r="AB15" i="27"/>
  <c r="X14" i="27"/>
  <c r="V92" i="27"/>
  <c r="M50" i="27"/>
  <c r="M60" i="27"/>
  <c r="AB54" i="27"/>
  <c r="O105" i="27"/>
  <c r="O24" i="27"/>
  <c r="O16" i="27"/>
  <c r="K111" i="27"/>
  <c r="W66" i="27"/>
  <c r="L15" i="27"/>
  <c r="L111" i="27"/>
  <c r="O107" i="27"/>
  <c r="AB91" i="27"/>
  <c r="AB64" i="27"/>
  <c r="M122" i="27"/>
  <c r="M95" i="27"/>
  <c r="L106" i="27"/>
  <c r="W95" i="27"/>
  <c r="AC85" i="27"/>
  <c r="O85" i="27"/>
  <c r="V71" i="27"/>
  <c r="AB69" i="27"/>
  <c r="W39" i="27"/>
  <c r="L25" i="27"/>
  <c r="Z22" i="27"/>
  <c r="V14" i="27"/>
  <c r="V13" i="27"/>
  <c r="AB97" i="27"/>
  <c r="AB48" i="27"/>
  <c r="AB29" i="27"/>
  <c r="L16" i="27"/>
  <c r="AC99" i="27"/>
  <c r="X68" i="27"/>
  <c r="N110" i="27"/>
  <c r="AA110" i="27" s="1"/>
  <c r="N40" i="27"/>
  <c r="Y40" i="27" s="1"/>
  <c r="AB99" i="27"/>
  <c r="W91" i="27"/>
  <c r="V66" i="27"/>
  <c r="N22" i="27"/>
  <c r="Y22" i="27" s="1"/>
  <c r="AB14" i="27"/>
  <c r="K80" i="27"/>
  <c r="AB111" i="27"/>
  <c r="K93" i="27"/>
  <c r="K79" i="27"/>
  <c r="W2" i="27"/>
  <c r="V126" i="27"/>
  <c r="AC124" i="27"/>
  <c r="O124" i="27"/>
  <c r="V87" i="27"/>
  <c r="AB85" i="27"/>
  <c r="W85" i="27"/>
  <c r="AB77" i="27"/>
  <c r="L71" i="27"/>
  <c r="L60" i="27"/>
  <c r="AB55" i="27"/>
  <c r="X52" i="27"/>
  <c r="V30" i="27"/>
  <c r="AC28" i="27"/>
  <c r="O28" i="27"/>
  <c r="L14" i="27"/>
  <c r="AB9" i="27"/>
  <c r="V8" i="27"/>
  <c r="O79" i="27"/>
  <c r="W46" i="27"/>
  <c r="W38" i="27"/>
  <c r="V81" i="27"/>
  <c r="O44" i="27"/>
  <c r="O52" i="27"/>
  <c r="O57" i="27"/>
  <c r="K126" i="27"/>
  <c r="O38" i="27"/>
  <c r="V27" i="27"/>
  <c r="N78" i="27"/>
  <c r="AA78" i="27" s="1"/>
  <c r="M78" i="27"/>
  <c r="V48" i="27"/>
  <c r="O43" i="27"/>
  <c r="K78" i="27"/>
  <c r="L94" i="27"/>
  <c r="X38" i="27"/>
  <c r="M85" i="27"/>
  <c r="K85" i="27"/>
  <c r="AC104" i="27"/>
  <c r="O104" i="27"/>
  <c r="O80" i="27"/>
  <c r="AC11" i="27"/>
  <c r="O11" i="27"/>
  <c r="M22" i="27"/>
  <c r="AC47" i="27"/>
  <c r="AC89" i="27"/>
  <c r="X112" i="27"/>
  <c r="Z14" i="27"/>
  <c r="AC52" i="27"/>
  <c r="W19" i="27"/>
  <c r="K112" i="27"/>
  <c r="AC97" i="27"/>
  <c r="L109" i="27"/>
  <c r="X124" i="27"/>
  <c r="V18" i="27"/>
  <c r="W8" i="27"/>
  <c r="M64" i="27"/>
  <c r="W52" i="27"/>
  <c r="O21" i="27"/>
  <c r="W20" i="27"/>
  <c r="X9" i="27"/>
  <c r="K119" i="27"/>
  <c r="M29" i="27"/>
  <c r="O47" i="27"/>
  <c r="O39" i="27"/>
  <c r="M92" i="27"/>
  <c r="N92" i="27"/>
  <c r="Y92" i="27" s="1"/>
  <c r="O60" i="27"/>
  <c r="V62" i="27"/>
  <c r="M57" i="27"/>
  <c r="O97" i="27"/>
  <c r="M51" i="27"/>
  <c r="K51" i="27"/>
  <c r="K106" i="27"/>
  <c r="M106" i="27"/>
  <c r="N106" i="27"/>
  <c r="Y106" i="27" s="1"/>
  <c r="K8" i="27"/>
  <c r="M8" i="27"/>
  <c r="O129" i="27"/>
  <c r="Z127" i="27"/>
  <c r="X37" i="27"/>
  <c r="Z27" i="27"/>
  <c r="O111" i="27"/>
  <c r="V106" i="27"/>
  <c r="W104" i="27"/>
  <c r="O89" i="27"/>
  <c r="V76" i="27"/>
  <c r="O64" i="27"/>
  <c r="V58" i="27"/>
  <c r="W56" i="27"/>
  <c r="O51" i="27"/>
  <c r="W42" i="27"/>
  <c r="O25" i="27"/>
  <c r="W24" i="27"/>
  <c r="X10" i="27"/>
  <c r="M93" i="27"/>
  <c r="K57" i="27"/>
  <c r="K20" i="27"/>
  <c r="V123" i="27"/>
  <c r="V103" i="27"/>
  <c r="W99" i="27"/>
  <c r="W88" i="27"/>
  <c r="W78" i="27"/>
  <c r="O71" i="27"/>
  <c r="Z67" i="27"/>
  <c r="W64" i="27"/>
  <c r="W33" i="27"/>
  <c r="O30" i="27"/>
  <c r="X12" i="27"/>
  <c r="L3" i="27"/>
  <c r="N89" i="27"/>
  <c r="Y89" i="27" s="1"/>
  <c r="N61" i="27"/>
  <c r="Y61" i="27" s="1"/>
  <c r="N5" i="27"/>
  <c r="Y5" i="27" s="1"/>
  <c r="W121" i="27"/>
  <c r="AB109" i="27"/>
  <c r="W109" i="27"/>
  <c r="AC101" i="27"/>
  <c r="O101" i="27"/>
  <c r="AB94" i="27"/>
  <c r="AC91" i="27"/>
  <c r="O91" i="27"/>
  <c r="O86" i="27"/>
  <c r="V68" i="27"/>
  <c r="X66" i="27"/>
  <c r="V63" i="27"/>
  <c r="O61" i="27"/>
  <c r="AC53" i="27"/>
  <c r="O48" i="27"/>
  <c r="N36" i="27"/>
  <c r="AA36" i="27" s="1"/>
  <c r="AB126" i="27"/>
  <c r="W126" i="27"/>
  <c r="X122" i="27"/>
  <c r="W90" i="27"/>
  <c r="W80" i="27"/>
  <c r="AC76" i="27"/>
  <c r="O76" i="27"/>
  <c r="W75" i="27"/>
  <c r="O66" i="27"/>
  <c r="N64" i="27"/>
  <c r="Y64" i="27" s="1"/>
  <c r="Z73" i="27"/>
  <c r="K59" i="27"/>
  <c r="V120" i="27"/>
  <c r="AB118" i="27"/>
  <c r="L112" i="27"/>
  <c r="AC103" i="27"/>
  <c r="O103" i="27"/>
  <c r="L93" i="27"/>
  <c r="AB45" i="27"/>
  <c r="X42" i="27"/>
  <c r="AB40" i="27"/>
  <c r="L29" i="27"/>
  <c r="W27" i="27"/>
  <c r="W26" i="27"/>
  <c r="AB7" i="27"/>
  <c r="T46" i="27"/>
  <c r="W123" i="27"/>
  <c r="Z121" i="27"/>
  <c r="AC115" i="27"/>
  <c r="O115" i="27"/>
  <c r="W114" i="27"/>
  <c r="V105" i="27"/>
  <c r="L100" i="27"/>
  <c r="AC83" i="27"/>
  <c r="O83" i="27"/>
  <c r="V44" i="27"/>
  <c r="AC42" i="27"/>
  <c r="O42" i="27"/>
  <c r="O4" i="27"/>
  <c r="K92" i="27"/>
  <c r="W116" i="27"/>
  <c r="AC6" i="27"/>
  <c r="L92" i="27"/>
  <c r="X81" i="27"/>
  <c r="O65" i="27"/>
  <c r="W51" i="27"/>
  <c r="AC34" i="27"/>
  <c r="O34" i="27"/>
  <c r="AC26" i="27"/>
  <c r="O26" i="27"/>
  <c r="V20" i="27"/>
  <c r="X18" i="27"/>
  <c r="W5" i="27"/>
  <c r="M37" i="27"/>
  <c r="M109" i="27"/>
  <c r="M25" i="27"/>
  <c r="N11" i="27"/>
  <c r="Y11" i="27" s="1"/>
  <c r="O127" i="27"/>
  <c r="AC122" i="27"/>
  <c r="L119" i="27"/>
  <c r="Z112" i="27"/>
  <c r="V97" i="27"/>
  <c r="AB95" i="27"/>
  <c r="W94" i="27"/>
  <c r="Z88" i="27"/>
  <c r="O72" i="27"/>
  <c r="AB65" i="27"/>
  <c r="L59" i="27"/>
  <c r="O54" i="27"/>
  <c r="L46" i="27"/>
  <c r="AC41" i="27"/>
  <c r="O41" i="27"/>
  <c r="V38" i="27"/>
  <c r="L36" i="27"/>
  <c r="O23" i="27"/>
  <c r="L20" i="27"/>
  <c r="O18" i="27"/>
  <c r="O3" i="27"/>
  <c r="M99" i="27"/>
  <c r="AB52" i="27"/>
  <c r="K50" i="27"/>
  <c r="T26" i="27"/>
  <c r="N94" i="27"/>
  <c r="Y94" i="27" s="1"/>
  <c r="K10" i="27"/>
  <c r="Z125" i="27"/>
  <c r="X123" i="27"/>
  <c r="AB122" i="27"/>
  <c r="V116" i="27"/>
  <c r="O87" i="27"/>
  <c r="W86" i="27"/>
  <c r="L79" i="27"/>
  <c r="AC67" i="27"/>
  <c r="O67" i="27"/>
  <c r="AC62" i="27"/>
  <c r="O62" i="27"/>
  <c r="Z52" i="27"/>
  <c r="AB31" i="27"/>
  <c r="X28" i="27"/>
  <c r="AC20" i="27"/>
  <c r="AC15" i="27"/>
  <c r="O15" i="27"/>
  <c r="AC13" i="27"/>
  <c r="O8" i="27"/>
  <c r="AB3" i="27"/>
  <c r="AB82" i="27"/>
  <c r="AB80" i="27"/>
  <c r="O10" i="27"/>
  <c r="AB5" i="27"/>
  <c r="K55" i="27"/>
  <c r="M98" i="27"/>
  <c r="X56" i="27"/>
  <c r="K14" i="27"/>
  <c r="O2" i="27"/>
  <c r="W115" i="27"/>
  <c r="O98" i="27"/>
  <c r="V95" i="27"/>
  <c r="AC88" i="27"/>
  <c r="O88" i="27"/>
  <c r="L85" i="27"/>
  <c r="W83" i="27"/>
  <c r="Z80" i="27"/>
  <c r="L78" i="27"/>
  <c r="L63" i="27"/>
  <c r="AC58" i="27"/>
  <c r="V42" i="27"/>
  <c r="V32" i="27"/>
  <c r="AB30" i="27"/>
  <c r="V24" i="27"/>
  <c r="O22" i="27"/>
  <c r="O12" i="27"/>
  <c r="W11" i="27"/>
  <c r="V4" i="27"/>
  <c r="M108" i="27"/>
  <c r="AB86" i="27"/>
  <c r="K83" i="27"/>
  <c r="K69" i="27"/>
  <c r="L127" i="27"/>
  <c r="AB125" i="27"/>
  <c r="W125" i="27"/>
  <c r="V122" i="27"/>
  <c r="O120" i="27"/>
  <c r="V114" i="27"/>
  <c r="W112" i="27"/>
  <c r="W107" i="27"/>
  <c r="AB98" i="27"/>
  <c r="AB93" i="27"/>
  <c r="V80" i="27"/>
  <c r="O78" i="27"/>
  <c r="AB73" i="27"/>
  <c r="Z64" i="27"/>
  <c r="AB58" i="27"/>
  <c r="W58" i="27"/>
  <c r="V52" i="27"/>
  <c r="Z46" i="27"/>
  <c r="AC45" i="27"/>
  <c r="O45" i="27"/>
  <c r="AC40" i="27"/>
  <c r="O37" i="27"/>
  <c r="AC27" i="27"/>
  <c r="O27" i="27"/>
  <c r="W22" i="27"/>
  <c r="AC7" i="27"/>
  <c r="O7" i="27"/>
  <c r="V124" i="27"/>
  <c r="Z113" i="27"/>
  <c r="AC112" i="27"/>
  <c r="O112" i="27"/>
  <c r="O108" i="27"/>
  <c r="Z91" i="27"/>
  <c r="Z59" i="27"/>
  <c r="V107" i="27"/>
  <c r="O95" i="27"/>
  <c r="V99" i="27"/>
  <c r="K128" i="27"/>
  <c r="M128" i="27"/>
  <c r="N128" i="27"/>
  <c r="Y128" i="27" s="1"/>
  <c r="W103" i="27"/>
  <c r="X111" i="27"/>
  <c r="Z81" i="27"/>
  <c r="M49" i="27"/>
  <c r="N49" i="27"/>
  <c r="AA49" i="27" s="1"/>
  <c r="K49" i="27"/>
  <c r="X63" i="27"/>
  <c r="X87" i="27"/>
  <c r="Z98" i="27"/>
  <c r="K117" i="27"/>
  <c r="V118" i="27"/>
  <c r="W13" i="27"/>
  <c r="K100" i="27"/>
  <c r="M100" i="27"/>
  <c r="N100" i="27"/>
  <c r="Y100" i="27" s="1"/>
  <c r="K35" i="27"/>
  <c r="M35" i="27"/>
  <c r="N35" i="27"/>
  <c r="AA35" i="27" s="1"/>
  <c r="X35" i="27"/>
  <c r="W128" i="27"/>
  <c r="X126" i="27"/>
  <c r="O126" i="27"/>
  <c r="O119" i="27"/>
  <c r="O114" i="27"/>
  <c r="O82" i="27"/>
  <c r="K127" i="27"/>
  <c r="M127" i="27"/>
  <c r="N127" i="27"/>
  <c r="AA127" i="27" s="1"/>
  <c r="N113" i="27"/>
  <c r="Y113" i="27" s="1"/>
  <c r="K113" i="27"/>
  <c r="M113" i="27"/>
  <c r="M86" i="27"/>
  <c r="N86" i="27"/>
  <c r="AA86" i="27" s="1"/>
  <c r="Z44" i="27"/>
  <c r="K44" i="27"/>
  <c r="K30" i="27"/>
  <c r="M30" i="27"/>
  <c r="N30" i="27"/>
  <c r="Y30" i="27" s="1"/>
  <c r="M16" i="27"/>
  <c r="K16" i="27"/>
  <c r="O121" i="27"/>
  <c r="Z35" i="27"/>
  <c r="Z16" i="27"/>
  <c r="O128" i="27"/>
  <c r="W120" i="27"/>
  <c r="X118" i="27"/>
  <c r="O118" i="27"/>
  <c r="O99" i="27"/>
  <c r="X73" i="27"/>
  <c r="V69" i="27"/>
  <c r="V28" i="27"/>
  <c r="M114" i="27"/>
  <c r="N114" i="27"/>
  <c r="AA114" i="27" s="1"/>
  <c r="X90" i="27"/>
  <c r="K45" i="27"/>
  <c r="M45" i="27"/>
  <c r="N45" i="27"/>
  <c r="AA45" i="27" s="1"/>
  <c r="X20" i="27"/>
  <c r="W10" i="27"/>
  <c r="N103" i="27"/>
  <c r="AA103" i="27" s="1"/>
  <c r="X103" i="27"/>
  <c r="AC119" i="27"/>
  <c r="X107" i="27"/>
  <c r="M31" i="27"/>
  <c r="K31" i="27"/>
  <c r="N31" i="27"/>
  <c r="X31" i="27"/>
  <c r="Z107" i="27"/>
  <c r="W122" i="27"/>
  <c r="V108" i="27"/>
  <c r="AC106" i="27"/>
  <c r="O106" i="27"/>
  <c r="X120" i="27"/>
  <c r="N16" i="27"/>
  <c r="Y16" i="27" s="1"/>
  <c r="AC93" i="27"/>
  <c r="O93" i="27"/>
  <c r="Z70" i="27"/>
  <c r="Z68" i="27"/>
  <c r="AC63" i="27"/>
  <c r="X53" i="27"/>
  <c r="X43" i="27"/>
  <c r="Z30" i="27"/>
  <c r="X26" i="27"/>
  <c r="V22" i="27"/>
  <c r="Z21" i="27"/>
  <c r="O20" i="27"/>
  <c r="V15" i="27"/>
  <c r="W9" i="27"/>
  <c r="V7" i="27"/>
  <c r="X5" i="27"/>
  <c r="M118" i="27"/>
  <c r="AB108" i="27"/>
  <c r="N85" i="27"/>
  <c r="Y85" i="27" s="1"/>
  <c r="N60" i="27"/>
  <c r="AA60" i="27" s="1"/>
  <c r="N57" i="27"/>
  <c r="AA57" i="27" s="1"/>
  <c r="M46" i="27"/>
  <c r="N46" i="27"/>
  <c r="AA46" i="27" s="1"/>
  <c r="Z123" i="27"/>
  <c r="Z117" i="27"/>
  <c r="Z109" i="27"/>
  <c r="W84" i="27"/>
  <c r="Z83" i="27"/>
  <c r="V82" i="27"/>
  <c r="Z57" i="27"/>
  <c r="W53" i="27"/>
  <c r="X51" i="27"/>
  <c r="O50" i="27"/>
  <c r="Z48" i="27"/>
  <c r="Z29" i="27"/>
  <c r="W17" i="27"/>
  <c r="V9" i="27"/>
  <c r="K99" i="27"/>
  <c r="AB88" i="27"/>
  <c r="L86" i="27"/>
  <c r="N74" i="27"/>
  <c r="AA74" i="27" s="1"/>
  <c r="M44" i="27"/>
  <c r="N43" i="27"/>
  <c r="AA43" i="27" s="1"/>
  <c r="AB38" i="27"/>
  <c r="X98" i="27"/>
  <c r="X86" i="27"/>
  <c r="X71" i="27"/>
  <c r="Z43" i="27"/>
  <c r="Z31" i="27"/>
  <c r="AC22" i="27"/>
  <c r="X22" i="27"/>
  <c r="X15" i="27"/>
  <c r="Z10" i="27"/>
  <c r="N80" i="27"/>
  <c r="Y80" i="27" s="1"/>
  <c r="K61" i="27"/>
  <c r="M43" i="27"/>
  <c r="N29" i="27"/>
  <c r="AA29" i="27" s="1"/>
  <c r="AB24" i="27"/>
  <c r="N17" i="27"/>
  <c r="Y17" i="27" s="1"/>
  <c r="K6" i="27"/>
  <c r="AC128" i="27"/>
  <c r="X92" i="27"/>
  <c r="Z87" i="27"/>
  <c r="X83" i="27"/>
  <c r="AC82" i="27"/>
  <c r="V60" i="27"/>
  <c r="O58" i="27"/>
  <c r="X48" i="27"/>
  <c r="Z45" i="27"/>
  <c r="V26" i="27"/>
  <c r="X24" i="27"/>
  <c r="Z20" i="27"/>
  <c r="Z18" i="27"/>
  <c r="W15" i="27"/>
  <c r="N126" i="27"/>
  <c r="AA126" i="27" s="1"/>
  <c r="K72" i="27"/>
  <c r="K41" i="27"/>
  <c r="N25" i="27"/>
  <c r="Y25" i="27" s="1"/>
  <c r="V64" i="27"/>
  <c r="Z63" i="27"/>
  <c r="Z54" i="27"/>
  <c r="V46" i="27"/>
  <c r="X44" i="27"/>
  <c r="Z41" i="27"/>
  <c r="X32" i="27"/>
  <c r="AC30" i="27"/>
  <c r="M126" i="27"/>
  <c r="M94" i="27"/>
  <c r="K89" i="27"/>
  <c r="M70" i="27"/>
  <c r="AB47" i="27"/>
  <c r="O122" i="27"/>
  <c r="Z108" i="27"/>
  <c r="Z124" i="27"/>
  <c r="X60" i="27"/>
  <c r="Z56" i="27"/>
  <c r="AC49" i="27"/>
  <c r="O49" i="27"/>
  <c r="W48" i="27"/>
  <c r="X27" i="27"/>
  <c r="V21" i="27"/>
  <c r="AC17" i="27"/>
  <c r="O17" i="27"/>
  <c r="AC4" i="27"/>
  <c r="M111" i="27"/>
  <c r="N109" i="27"/>
  <c r="AA109" i="27" s="1"/>
  <c r="AB89" i="27"/>
  <c r="T97" i="27"/>
  <c r="V55" i="27"/>
  <c r="O53" i="27"/>
  <c r="X46" i="27"/>
  <c r="W44" i="27"/>
  <c r="X41" i="27"/>
  <c r="W31" i="27"/>
  <c r="W30" i="27"/>
  <c r="Z28" i="27"/>
  <c r="W25" i="27"/>
  <c r="W12" i="27"/>
  <c r="W3" i="27"/>
  <c r="AB114" i="27"/>
  <c r="K94" i="27"/>
  <c r="K75" i="27"/>
  <c r="Z122" i="27"/>
  <c r="X108" i="27"/>
  <c r="X99" i="27"/>
  <c r="O94" i="27"/>
  <c r="O46" i="27"/>
  <c r="X21" i="27"/>
  <c r="Z7" i="27"/>
  <c r="O6" i="27"/>
  <c r="AB124" i="27"/>
  <c r="O92" i="27"/>
  <c r="AB75" i="27"/>
  <c r="AB12" i="27"/>
  <c r="L101" i="27"/>
  <c r="AB61" i="27"/>
  <c r="K17" i="27"/>
  <c r="W111" i="27"/>
  <c r="O116" i="27"/>
  <c r="AC110" i="27"/>
  <c r="Z99" i="27"/>
  <c r="Z114" i="27"/>
  <c r="X113" i="27"/>
  <c r="AC75" i="27"/>
  <c r="Z71" i="27"/>
  <c r="Z69" i="27"/>
  <c r="X64" i="27"/>
  <c r="O113" i="27"/>
  <c r="Z82" i="27"/>
  <c r="AC64" i="27"/>
  <c r="V57" i="27"/>
  <c r="X125" i="27"/>
  <c r="W113" i="27"/>
  <c r="AC111" i="27"/>
  <c r="X109" i="27"/>
  <c r="W108" i="27"/>
  <c r="AC102" i="27"/>
  <c r="X97" i="27"/>
  <c r="AC96" i="27"/>
  <c r="Z92" i="27"/>
  <c r="O81" i="27"/>
  <c r="AC77" i="27"/>
  <c r="V74" i="27"/>
  <c r="V72" i="27"/>
  <c r="O68" i="27"/>
  <c r="X67" i="27"/>
  <c r="W45" i="27"/>
  <c r="Z42" i="27"/>
  <c r="Z38" i="27"/>
  <c r="V35" i="27"/>
  <c r="Z24" i="27"/>
  <c r="AC21" i="27"/>
  <c r="Z13" i="27"/>
  <c r="V10" i="27"/>
  <c r="Z9" i="27"/>
  <c r="V3" i="27"/>
  <c r="N95" i="27"/>
  <c r="AA95" i="27" s="1"/>
  <c r="N68" i="27"/>
  <c r="AA68" i="27" s="1"/>
  <c r="N51" i="27"/>
  <c r="Y51" i="27" s="1"/>
  <c r="M112" i="27"/>
  <c r="N112" i="27"/>
  <c r="Y112" i="27" s="1"/>
  <c r="M71" i="27"/>
  <c r="N71" i="27"/>
  <c r="Y71" i="27" s="1"/>
  <c r="AC118" i="27"/>
  <c r="X116" i="27"/>
  <c r="M84" i="27"/>
  <c r="N84" i="27"/>
  <c r="Y84" i="27" s="1"/>
  <c r="AC116" i="27"/>
  <c r="V113" i="27"/>
  <c r="O110" i="27"/>
  <c r="T69" i="27"/>
  <c r="W72" i="27"/>
  <c r="W74" i="27"/>
  <c r="V115" i="27"/>
  <c r="W100" i="27"/>
  <c r="V83" i="27"/>
  <c r="X70" i="27"/>
  <c r="AC127" i="27"/>
  <c r="T107" i="27"/>
  <c r="T9" i="27"/>
  <c r="K65" i="27"/>
  <c r="M65" i="27"/>
  <c r="W127" i="27"/>
  <c r="X104" i="27"/>
  <c r="W98" i="27"/>
  <c r="V91" i="27"/>
  <c r="X69" i="27"/>
  <c r="V59" i="27"/>
  <c r="X57" i="27"/>
  <c r="AC55" i="27"/>
  <c r="O55" i="27"/>
  <c r="AC48" i="27"/>
  <c r="V39" i="27"/>
  <c r="V33" i="27"/>
  <c r="Z32" i="27"/>
  <c r="X29" i="27"/>
  <c r="AC16" i="27"/>
  <c r="X16" i="27"/>
  <c r="X8" i="27"/>
  <c r="X7" i="27"/>
  <c r="Z4" i="27"/>
  <c r="AB117" i="27"/>
  <c r="N98" i="27"/>
  <c r="AA98" i="27" s="1"/>
  <c r="K48" i="27"/>
  <c r="AB18" i="27"/>
  <c r="N15" i="27"/>
  <c r="Y15" i="27" s="1"/>
  <c r="X82" i="27"/>
  <c r="X80" i="27"/>
  <c r="W76" i="27"/>
  <c r="Z75" i="27"/>
  <c r="X74" i="27"/>
  <c r="W61" i="27"/>
  <c r="Z60" i="27"/>
  <c r="X3" i="27"/>
  <c r="N115" i="27"/>
  <c r="AA115" i="27" s="1"/>
  <c r="M63" i="27"/>
  <c r="AB16" i="27"/>
  <c r="M15" i="27"/>
  <c r="O5" i="27"/>
  <c r="V89" i="27"/>
  <c r="X76" i="27"/>
  <c r="O74" i="27"/>
  <c r="AC72" i="27"/>
  <c r="X59" i="27"/>
  <c r="Z58" i="27"/>
  <c r="W57" i="27"/>
  <c r="X13" i="27"/>
  <c r="X11" i="27"/>
  <c r="W7" i="27"/>
  <c r="V5" i="27"/>
  <c r="K96" i="27"/>
  <c r="K84" i="27"/>
  <c r="K82" i="27"/>
  <c r="K46" i="27"/>
  <c r="K40" i="27"/>
  <c r="K21" i="27"/>
  <c r="M32" i="27"/>
  <c r="M10" i="27"/>
  <c r="Z12" i="27"/>
  <c r="N122" i="27"/>
  <c r="Y122" i="27" s="1"/>
  <c r="N116" i="27"/>
  <c r="Y116" i="27" s="1"/>
  <c r="AB101" i="27"/>
  <c r="K90" i="27"/>
  <c r="L81" i="27"/>
  <c r="AB39" i="27"/>
  <c r="L37" i="27"/>
  <c r="W82" i="27"/>
  <c r="Z53" i="27"/>
  <c r="L129" i="27"/>
  <c r="L104" i="27"/>
  <c r="K97" i="27"/>
  <c r="M66" i="27"/>
  <c r="M59" i="27"/>
  <c r="K37" i="27"/>
  <c r="M36" i="27"/>
  <c r="AB20" i="27"/>
  <c r="M14" i="27"/>
  <c r="Z103" i="27"/>
  <c r="X100" i="27"/>
  <c r="Z97" i="27"/>
  <c r="V94" i="27"/>
  <c r="Z74" i="27"/>
  <c r="AC71" i="27"/>
  <c r="AC69" i="27"/>
  <c r="V54" i="27"/>
  <c r="V50" i="27"/>
  <c r="V25" i="27"/>
  <c r="W21" i="27"/>
  <c r="AC19" i="27"/>
  <c r="Z15" i="27"/>
  <c r="T118" i="27"/>
  <c r="T63" i="27"/>
  <c r="T21" i="27"/>
  <c r="AC129" i="27"/>
  <c r="AC125" i="27"/>
  <c r="V119" i="27"/>
  <c r="Z116" i="27"/>
  <c r="W106" i="27"/>
  <c r="X91" i="27"/>
  <c r="AC84" i="27"/>
  <c r="W71" i="27"/>
  <c r="W69" i="27"/>
  <c r="X62" i="27"/>
  <c r="W47" i="27"/>
  <c r="AC43" i="27"/>
  <c r="AC39" i="27"/>
  <c r="X39" i="27"/>
  <c r="AC35" i="27"/>
  <c r="X33" i="27"/>
  <c r="W29" i="27"/>
  <c r="V16" i="27"/>
  <c r="Z8" i="27"/>
  <c r="N119" i="27"/>
  <c r="Y119" i="27" s="1"/>
  <c r="K107" i="27"/>
  <c r="K104" i="27"/>
  <c r="K66" i="27"/>
  <c r="W43" i="27"/>
  <c r="AC25" i="27"/>
  <c r="X25" i="27"/>
  <c r="Z17" i="27"/>
  <c r="Z3" i="27"/>
  <c r="K114" i="27"/>
  <c r="K95" i="27"/>
  <c r="AB66" i="27"/>
  <c r="AB26" i="27"/>
  <c r="L47" i="27"/>
  <c r="M47" i="27"/>
  <c r="N47" i="27"/>
  <c r="Y47" i="27" s="1"/>
  <c r="L33" i="27"/>
  <c r="M33" i="27"/>
  <c r="N33" i="27"/>
  <c r="AA33" i="27" s="1"/>
  <c r="L23" i="27"/>
  <c r="M23" i="27"/>
  <c r="N23" i="27"/>
  <c r="K101" i="27"/>
  <c r="L58" i="27"/>
  <c r="M58" i="27"/>
  <c r="N58" i="27"/>
  <c r="AA58" i="27" s="1"/>
  <c r="K47" i="27"/>
  <c r="K33" i="27"/>
  <c r="L26" i="27"/>
  <c r="M26" i="27"/>
  <c r="K23" i="27"/>
  <c r="L12" i="27"/>
  <c r="M12" i="27"/>
  <c r="M124" i="27"/>
  <c r="N124" i="27"/>
  <c r="Y124" i="27" s="1"/>
  <c r="L121" i="27"/>
  <c r="M121" i="27"/>
  <c r="N121" i="27"/>
  <c r="AA121" i="27" s="1"/>
  <c r="N87" i="27"/>
  <c r="AA87" i="27" s="1"/>
  <c r="L87" i="27"/>
  <c r="M87" i="27"/>
  <c r="K58" i="27"/>
  <c r="K26" i="27"/>
  <c r="K12" i="27"/>
  <c r="K124" i="27"/>
  <c r="K121" i="27"/>
  <c r="K87" i="27"/>
  <c r="M55" i="27"/>
  <c r="N55" i="27"/>
  <c r="Y55" i="27" s="1"/>
  <c r="K52" i="27"/>
  <c r="L9" i="27"/>
  <c r="M9" i="27"/>
  <c r="N9" i="27"/>
  <c r="L73" i="27"/>
  <c r="M73" i="27"/>
  <c r="N73" i="27"/>
  <c r="Y73" i="27" s="1"/>
  <c r="L38" i="27"/>
  <c r="M38" i="27"/>
  <c r="N38" i="27"/>
  <c r="Y38" i="27" s="1"/>
  <c r="K9" i="27"/>
  <c r="K115" i="27"/>
  <c r="K105" i="27"/>
  <c r="L105" i="27"/>
  <c r="M101" i="27"/>
  <c r="M76" i="27"/>
  <c r="N76" i="27"/>
  <c r="AA76" i="27" s="1"/>
  <c r="L76" i="27"/>
  <c r="K73" i="27"/>
  <c r="N66" i="27"/>
  <c r="Y66" i="27" s="1"/>
  <c r="M62" i="27"/>
  <c r="N62" i="27"/>
  <c r="Y62" i="27" s="1"/>
  <c r="L62" i="27"/>
  <c r="M41" i="27"/>
  <c r="N41" i="27"/>
  <c r="AA41" i="27" s="1"/>
  <c r="K38" i="27"/>
  <c r="N26" i="27"/>
  <c r="AA26" i="27" s="1"/>
  <c r="N12" i="27"/>
  <c r="Y12" i="27" s="1"/>
  <c r="M6" i="27"/>
  <c r="N6" i="27"/>
  <c r="Y6" i="27" s="1"/>
  <c r="K3" i="27"/>
  <c r="L124" i="27"/>
  <c r="N118" i="27"/>
  <c r="AA118" i="27" s="1"/>
  <c r="L102" i="27"/>
  <c r="M102" i="27"/>
  <c r="N102" i="27"/>
  <c r="Y102" i="27" s="1"/>
  <c r="M67" i="27"/>
  <c r="L67" i="27"/>
  <c r="K62" i="27"/>
  <c r="N52" i="27"/>
  <c r="Y52" i="27" s="1"/>
  <c r="L24" i="27"/>
  <c r="M24" i="27"/>
  <c r="N24" i="27"/>
  <c r="Y24" i="27" s="1"/>
  <c r="AB37" i="27"/>
  <c r="N129" i="27"/>
  <c r="AA129" i="27" s="1"/>
  <c r="K102" i="27"/>
  <c r="K81" i="27"/>
  <c r="K67" i="27"/>
  <c r="L66" i="27"/>
  <c r="K56" i="27"/>
  <c r="L56" i="27"/>
  <c r="M52" i="27"/>
  <c r="M27" i="27"/>
  <c r="N27" i="27"/>
  <c r="L27" i="27"/>
  <c r="K24" i="27"/>
  <c r="K125" i="27"/>
  <c r="L125" i="27"/>
  <c r="M125" i="27"/>
  <c r="N125" i="27"/>
  <c r="Y125" i="27" s="1"/>
  <c r="L118" i="27"/>
  <c r="L88" i="27"/>
  <c r="M88" i="27"/>
  <c r="N88" i="27"/>
  <c r="Y88" i="27" s="1"/>
  <c r="L53" i="27"/>
  <c r="M53" i="27"/>
  <c r="N53" i="27"/>
  <c r="Y53" i="27" s="1"/>
  <c r="K27" i="27"/>
  <c r="L18" i="27"/>
  <c r="M18" i="27"/>
  <c r="M17" i="27"/>
  <c r="K13" i="27"/>
  <c r="N3" i="27"/>
  <c r="AA3" i="27" s="1"/>
  <c r="AB119" i="27"/>
  <c r="AB115" i="27"/>
  <c r="AB17" i="27"/>
  <c r="K118" i="27"/>
  <c r="N105" i="27"/>
  <c r="AA105" i="27" s="1"/>
  <c r="K91" i="27"/>
  <c r="L91" i="27"/>
  <c r="M91" i="27"/>
  <c r="N91" i="27"/>
  <c r="Y91" i="27" s="1"/>
  <c r="K53" i="27"/>
  <c r="L41" i="27"/>
  <c r="K32" i="27"/>
  <c r="K18" i="27"/>
  <c r="L17" i="27"/>
  <c r="K7" i="27"/>
  <c r="L7" i="27"/>
  <c r="L6" i="27"/>
  <c r="M3" i="27"/>
  <c r="AB102" i="27"/>
  <c r="AB23" i="27"/>
  <c r="AB6" i="27"/>
  <c r="L120" i="27"/>
  <c r="M120" i="27"/>
  <c r="N120" i="27"/>
  <c r="Y120" i="27" s="1"/>
  <c r="M105" i="27"/>
  <c r="N81" i="27"/>
  <c r="Y81" i="27" s="1"/>
  <c r="L70" i="27"/>
  <c r="N67" i="27"/>
  <c r="AA67" i="27" s="1"/>
  <c r="L39" i="27"/>
  <c r="M39" i="27"/>
  <c r="N39" i="27"/>
  <c r="AA39" i="27" s="1"/>
  <c r="L4" i="27"/>
  <c r="M4" i="27"/>
  <c r="N4" i="27"/>
  <c r="AA4" i="27" s="1"/>
  <c r="L123" i="27"/>
  <c r="M123" i="27"/>
  <c r="K120" i="27"/>
  <c r="L110" i="27"/>
  <c r="M110" i="27"/>
  <c r="K86" i="27"/>
  <c r="M81" i="27"/>
  <c r="K77" i="27"/>
  <c r="L77" i="27"/>
  <c r="M77" i="27"/>
  <c r="N77" i="27"/>
  <c r="Y77" i="27" s="1"/>
  <c r="K70" i="27"/>
  <c r="N56" i="27"/>
  <c r="Y56" i="27" s="1"/>
  <c r="K42" i="27"/>
  <c r="L42" i="27"/>
  <c r="M42" i="27"/>
  <c r="N42" i="27"/>
  <c r="AA42" i="27" s="1"/>
  <c r="M21" i="27"/>
  <c r="K4" i="27"/>
  <c r="AB128" i="27"/>
  <c r="K123" i="27"/>
  <c r="K110" i="27"/>
  <c r="L96" i="27"/>
  <c r="M96" i="27"/>
  <c r="N96" i="27"/>
  <c r="Y96" i="27" s="1"/>
  <c r="L82" i="27"/>
  <c r="M82" i="27"/>
  <c r="N82" i="27"/>
  <c r="AA82" i="27" s="1"/>
  <c r="L72" i="27"/>
  <c r="M72" i="27"/>
  <c r="N72" i="27"/>
  <c r="AA72" i="27" s="1"/>
  <c r="M56" i="27"/>
  <c r="N32" i="27"/>
  <c r="AA32" i="27" s="1"/>
  <c r="L21" i="27"/>
  <c r="N18" i="27"/>
  <c r="AA18" i="27" s="1"/>
  <c r="M104" i="27"/>
  <c r="N104" i="27"/>
  <c r="AA104" i="27" s="1"/>
  <c r="M90" i="27"/>
  <c r="N90" i="27"/>
  <c r="AA90" i="27" s="1"/>
  <c r="K129" i="27"/>
  <c r="M115" i="27"/>
  <c r="L115" i="27"/>
  <c r="N101" i="27"/>
  <c r="AA101" i="27" s="1"/>
  <c r="K76" i="27"/>
  <c r="L55" i="27"/>
  <c r="M13" i="27"/>
  <c r="N13" i="27"/>
  <c r="AA13" i="27" s="1"/>
  <c r="L13" i="27"/>
  <c r="M129" i="27"/>
  <c r="N70" i="27"/>
  <c r="AA70" i="27" s="1"/>
  <c r="N21" i="27"/>
  <c r="AA21" i="27" s="1"/>
  <c r="AB51" i="27"/>
  <c r="L107" i="27"/>
  <c r="M107" i="27"/>
  <c r="N107" i="27"/>
  <c r="AA107" i="27" s="1"/>
  <c r="L75" i="27"/>
  <c r="M75" i="27"/>
  <c r="L61" i="27"/>
  <c r="M61" i="27"/>
  <c r="K28" i="27"/>
  <c r="L28" i="27"/>
  <c r="M28" i="27"/>
  <c r="N28" i="27"/>
  <c r="AA28" i="27" s="1"/>
  <c r="N7" i="27"/>
  <c r="AA7" i="27" s="1"/>
  <c r="M97" i="27"/>
  <c r="N97" i="27"/>
  <c r="Y97" i="27" s="1"/>
  <c r="M48" i="27"/>
  <c r="N48" i="27"/>
  <c r="AA48" i="27" s="1"/>
  <c r="K39" i="27"/>
  <c r="L19" i="27"/>
  <c r="M19" i="27"/>
  <c r="AB120" i="27"/>
  <c r="AB104" i="27"/>
  <c r="AB90" i="27"/>
  <c r="K116" i="27"/>
  <c r="K68" i="27"/>
  <c r="K19" i="27"/>
  <c r="AB106" i="27"/>
  <c r="K122" i="27"/>
  <c r="L103" i="27"/>
  <c r="M103" i="27"/>
  <c r="M83" i="27"/>
  <c r="N83" i="27"/>
  <c r="AA83" i="27" s="1"/>
  <c r="K74" i="27"/>
  <c r="L54" i="27"/>
  <c r="M54" i="27"/>
  <c r="M34" i="27"/>
  <c r="N34" i="27"/>
  <c r="AA34" i="27" s="1"/>
  <c r="K25" i="27"/>
  <c r="L5" i="27"/>
  <c r="M5" i="27"/>
  <c r="AB116" i="27"/>
  <c r="AB72" i="27"/>
  <c r="K103" i="27"/>
  <c r="K54" i="27"/>
  <c r="K5" i="27"/>
  <c r="AB41" i="27"/>
  <c r="AB22" i="27"/>
  <c r="M117" i="27"/>
  <c r="N117" i="27"/>
  <c r="Y117" i="27" s="1"/>
  <c r="N111" i="27"/>
  <c r="AA111" i="27" s="1"/>
  <c r="K109" i="27"/>
  <c r="N108" i="27"/>
  <c r="AA108" i="27" s="1"/>
  <c r="L97" i="27"/>
  <c r="N93" i="27"/>
  <c r="AA93" i="27" s="1"/>
  <c r="L89" i="27"/>
  <c r="M89" i="27"/>
  <c r="M69" i="27"/>
  <c r="N69" i="27"/>
  <c r="AA69" i="27" s="1"/>
  <c r="N63" i="27"/>
  <c r="Y63" i="27" s="1"/>
  <c r="K60" i="27"/>
  <c r="N59" i="27"/>
  <c r="Y59" i="27" s="1"/>
  <c r="L48" i="27"/>
  <c r="N44" i="27"/>
  <c r="Y44" i="27" s="1"/>
  <c r="L40" i="27"/>
  <c r="M40" i="27"/>
  <c r="M20" i="27"/>
  <c r="N20" i="27"/>
  <c r="Y20" i="27" s="1"/>
  <c r="N19" i="27"/>
  <c r="Y19" i="27" s="1"/>
  <c r="N14" i="27"/>
  <c r="AA14" i="27" s="1"/>
  <c r="K11" i="27"/>
  <c r="N10" i="27"/>
  <c r="Y10" i="27" s="1"/>
  <c r="L116" i="27"/>
  <c r="M116" i="27"/>
  <c r="K88" i="27"/>
  <c r="L68" i="27"/>
  <c r="M68" i="27"/>
  <c r="AB8" i="27"/>
  <c r="AB129" i="27"/>
  <c r="AB110" i="27"/>
  <c r="AB62" i="27"/>
  <c r="AB123" i="27"/>
  <c r="AB103" i="27"/>
  <c r="AB76" i="27"/>
  <c r="AB43" i="27"/>
  <c r="AB113" i="27"/>
  <c r="AB78" i="27"/>
  <c r="AB50" i="27"/>
  <c r="AB13" i="27"/>
  <c r="X101" i="27"/>
  <c r="X78" i="27"/>
  <c r="X61" i="27"/>
  <c r="W119" i="27"/>
  <c r="X96" i="27"/>
  <c r="X94" i="27"/>
  <c r="Z85" i="27"/>
  <c r="X79" i="27"/>
  <c r="AC61" i="27"/>
  <c r="W55" i="27"/>
  <c r="Z37" i="27"/>
  <c r="X36" i="27"/>
  <c r="Z36" i="27"/>
  <c r="Z11" i="27"/>
  <c r="Z120" i="27"/>
  <c r="V110" i="27"/>
  <c r="W102" i="27"/>
  <c r="X84" i="27"/>
  <c r="X58" i="27"/>
  <c r="AC57" i="27"/>
  <c r="Z51" i="27"/>
  <c r="W50" i="27"/>
  <c r="V36" i="27"/>
  <c r="AC29" i="27"/>
  <c r="V11" i="27"/>
  <c r="V47" i="27"/>
  <c r="W89" i="27"/>
  <c r="V40" i="27"/>
  <c r="T40" i="27"/>
  <c r="Z94" i="27"/>
  <c r="W36" i="27"/>
  <c r="V104" i="27"/>
  <c r="AC78" i="27"/>
  <c r="Z115" i="27"/>
  <c r="Z33" i="27"/>
  <c r="Z25" i="27"/>
  <c r="V78" i="27"/>
  <c r="V61" i="27"/>
  <c r="AC10" i="27"/>
  <c r="AC113" i="27"/>
  <c r="V84" i="27"/>
  <c r="AC33" i="27"/>
  <c r="Z128" i="27"/>
  <c r="X106" i="27"/>
  <c r="Z86" i="27"/>
  <c r="Z79" i="27"/>
  <c r="Z47" i="27"/>
  <c r="V128" i="27"/>
  <c r="W105" i="27"/>
  <c r="AC87" i="27"/>
  <c r="V75" i="27"/>
  <c r="Z72" i="27"/>
  <c r="W65" i="27"/>
  <c r="Z61" i="27"/>
  <c r="AC24" i="27"/>
  <c r="V127" i="27"/>
  <c r="X121" i="27"/>
  <c r="X114" i="27"/>
  <c r="Z106" i="27"/>
  <c r="Z105" i="27"/>
  <c r="Z89" i="27"/>
  <c r="V65" i="27"/>
  <c r="Z65" i="27"/>
  <c r="X50" i="27"/>
  <c r="AC44" i="27"/>
  <c r="AC32" i="27"/>
  <c r="T101" i="27"/>
  <c r="V93" i="27"/>
  <c r="V88" i="27"/>
  <c r="Z84" i="27"/>
  <c r="AC60" i="27"/>
  <c r="X40" i="27"/>
  <c r="AC18" i="27"/>
  <c r="X127" i="27"/>
  <c r="V121" i="27"/>
  <c r="Z111" i="27"/>
  <c r="Z104" i="27"/>
  <c r="Y99" i="27"/>
  <c r="X75" i="27"/>
  <c r="Z26" i="27"/>
  <c r="V101" i="27"/>
  <c r="X119" i="27"/>
  <c r="Z101" i="27"/>
  <c r="W93" i="27"/>
  <c r="Z129" i="27"/>
  <c r="V111" i="27"/>
  <c r="Z110" i="27"/>
  <c r="X105" i="27"/>
  <c r="X93" i="27"/>
  <c r="X89" i="27"/>
  <c r="X88" i="27"/>
  <c r="X65" i="27"/>
  <c r="X30" i="27"/>
  <c r="V19" i="27"/>
  <c r="X85" i="27"/>
  <c r="AC65" i="27"/>
  <c r="AC50" i="27"/>
  <c r="W34" i="27"/>
  <c r="W23" i="27"/>
  <c r="AC8" i="27"/>
  <c r="X19" i="27"/>
  <c r="W6" i="27"/>
  <c r="T93" i="27"/>
  <c r="X128" i="27"/>
  <c r="V117" i="27"/>
  <c r="X102" i="27"/>
  <c r="W77" i="27"/>
  <c r="W73" i="27"/>
  <c r="V67" i="27"/>
  <c r="V45" i="27"/>
  <c r="AC37" i="27"/>
  <c r="V31" i="27"/>
  <c r="AC120" i="27"/>
  <c r="Z119" i="27"/>
  <c r="AC107" i="27"/>
  <c r="W92" i="27"/>
  <c r="AC80" i="27"/>
  <c r="Z78" i="27"/>
  <c r="AC66" i="27"/>
  <c r="W49" i="27"/>
  <c r="Z5" i="27"/>
  <c r="T91" i="27"/>
  <c r="W118" i="27"/>
  <c r="W87" i="27"/>
  <c r="V73" i="27"/>
  <c r="W60" i="27"/>
  <c r="X54" i="27"/>
  <c r="X49" i="27"/>
  <c r="X45" i="27"/>
  <c r="X34" i="27"/>
  <c r="W32" i="27"/>
  <c r="X23" i="27"/>
  <c r="W4" i="27"/>
  <c r="AC3" i="27"/>
  <c r="T48" i="27"/>
  <c r="T6" i="27"/>
  <c r="AC121" i="27"/>
  <c r="V109" i="27"/>
  <c r="Z90" i="27"/>
  <c r="Z50" i="27"/>
  <c r="V49" i="27"/>
  <c r="Z40" i="27"/>
  <c r="AC38" i="27"/>
  <c r="AC31" i="27"/>
  <c r="AC23" i="27"/>
  <c r="AC9" i="27"/>
  <c r="X6" i="27"/>
  <c r="X72" i="27"/>
  <c r="Z93" i="27"/>
  <c r="V86" i="27"/>
  <c r="W68" i="27"/>
  <c r="X110" i="27"/>
  <c r="T103" i="27"/>
  <c r="T89" i="27"/>
  <c r="T33" i="27"/>
  <c r="T5" i="27"/>
  <c r="X129" i="27"/>
  <c r="W110" i="27"/>
  <c r="X77" i="27"/>
  <c r="Z76" i="27"/>
  <c r="Z62" i="27"/>
  <c r="Z55" i="27"/>
  <c r="Z49" i="27"/>
  <c r="AC46" i="27"/>
  <c r="Z34" i="27"/>
  <c r="Z19" i="27"/>
  <c r="X17" i="27"/>
  <c r="T122" i="27"/>
  <c r="T95" i="27"/>
  <c r="T11" i="27"/>
  <c r="Z77" i="27"/>
  <c r="W59" i="27"/>
  <c r="AC51" i="27"/>
  <c r="W18" i="27"/>
  <c r="Z6" i="27"/>
  <c r="T108" i="27"/>
  <c r="T52" i="27"/>
  <c r="T38" i="27"/>
  <c r="T10" i="27"/>
  <c r="X115" i="27"/>
  <c r="W101" i="27"/>
  <c r="V100" i="27"/>
  <c r="AC79" i="27"/>
  <c r="X55" i="27"/>
  <c r="W54" i="27"/>
  <c r="V53" i="27"/>
  <c r="X47" i="27"/>
  <c r="X4" i="27"/>
  <c r="Z2" i="27"/>
  <c r="AB2" i="27"/>
  <c r="L2" i="27"/>
  <c r="X2" i="27"/>
  <c r="K2" i="27"/>
  <c r="M2" i="27"/>
  <c r="AA56" i="27" l="1"/>
  <c r="AA40" i="27"/>
  <c r="Y103" i="27"/>
  <c r="Y110" i="27"/>
  <c r="Y101" i="27"/>
  <c r="AA25" i="27"/>
  <c r="AA61" i="27"/>
  <c r="AA2" i="27"/>
  <c r="AA50" i="27"/>
  <c r="AA75" i="27"/>
  <c r="AA37" i="27"/>
  <c r="AA54" i="27"/>
  <c r="Y74" i="27"/>
  <c r="Y90" i="27"/>
  <c r="Y34" i="27"/>
  <c r="Y4" i="27"/>
  <c r="Y127" i="27"/>
  <c r="Y8" i="27"/>
  <c r="Y76" i="27"/>
  <c r="Y78" i="27"/>
  <c r="Y48" i="27"/>
  <c r="AA11" i="27"/>
  <c r="Y68" i="27"/>
  <c r="Y3" i="27"/>
  <c r="AA16" i="27"/>
  <c r="Y49" i="27"/>
  <c r="AA80" i="27"/>
  <c r="Y95" i="27"/>
  <c r="AA123" i="27"/>
  <c r="Y65" i="27"/>
  <c r="AA113" i="27"/>
  <c r="AA106" i="27"/>
  <c r="AA5" i="27"/>
  <c r="Y98" i="27"/>
  <c r="AA92" i="27"/>
  <c r="AA22" i="27"/>
  <c r="Y29" i="27"/>
  <c r="AA79" i="27"/>
  <c r="Y70" i="27"/>
  <c r="Y115" i="27"/>
  <c r="Y35" i="27"/>
  <c r="AA20" i="27"/>
  <c r="AA51" i="27"/>
  <c r="AA64" i="27"/>
  <c r="AA38" i="27"/>
  <c r="AA85" i="27"/>
  <c r="AA44" i="27"/>
  <c r="AA73" i="27"/>
  <c r="Y57" i="27"/>
  <c r="Y111" i="27"/>
  <c r="AA47" i="27"/>
  <c r="Y45" i="27"/>
  <c r="AA94" i="27"/>
  <c r="Y39" i="27"/>
  <c r="AA84" i="27"/>
  <c r="Y93" i="27"/>
  <c r="AA91" i="27"/>
  <c r="AA6" i="27"/>
  <c r="Y109" i="27"/>
  <c r="Y46" i="27"/>
  <c r="AA89" i="27"/>
  <c r="AA119" i="27"/>
  <c r="AA124" i="27"/>
  <c r="AA24" i="27"/>
  <c r="Y36" i="27"/>
  <c r="Y32" i="27"/>
  <c r="AA100" i="27"/>
  <c r="AA71" i="27"/>
  <c r="AA122" i="27"/>
  <c r="Y114" i="27"/>
  <c r="Y82" i="27"/>
  <c r="AA128" i="27"/>
  <c r="Y26" i="27"/>
  <c r="AA97" i="27"/>
  <c r="AA17" i="27"/>
  <c r="AA10" i="27"/>
  <c r="Y60" i="27"/>
  <c r="AA116" i="27"/>
  <c r="Y58" i="27"/>
  <c r="Y43" i="27"/>
  <c r="Y87" i="27"/>
  <c r="AA12" i="27"/>
  <c r="AA112" i="27"/>
  <c r="Y126" i="27"/>
  <c r="AA55" i="27"/>
  <c r="AA19" i="27"/>
  <c r="AA63" i="27"/>
  <c r="AA52" i="27"/>
  <c r="AA15" i="27"/>
  <c r="Y13" i="27"/>
  <c r="Y31" i="27"/>
  <c r="AA31" i="27"/>
  <c r="Y107" i="27"/>
  <c r="Y14" i="27"/>
  <c r="AA102" i="27"/>
  <c r="Y18" i="27"/>
  <c r="AA30" i="27"/>
  <c r="Y86" i="27"/>
  <c r="AA120" i="27"/>
  <c r="AA88" i="27"/>
  <c r="Y41" i="27"/>
  <c r="Y129" i="27"/>
  <c r="Y108" i="27"/>
  <c r="Y7" i="27"/>
  <c r="Y105" i="27"/>
  <c r="AA125" i="27"/>
  <c r="Y121" i="27"/>
  <c r="AA96" i="27"/>
  <c r="Y118" i="27"/>
  <c r="AA117" i="27"/>
  <c r="Y9" i="27"/>
  <c r="AA9" i="27"/>
  <c r="Y23" i="27"/>
  <c r="AA23" i="27"/>
  <c r="Y27" i="27"/>
  <c r="AA27" i="27"/>
  <c r="Y104" i="27"/>
  <c r="Y33" i="27"/>
  <c r="Y42" i="27"/>
  <c r="Y83" i="27"/>
  <c r="Y28" i="27"/>
  <c r="AA62" i="27"/>
  <c r="Y72" i="27"/>
  <c r="AA59" i="27"/>
  <c r="AA66" i="27"/>
  <c r="Y21" i="27"/>
  <c r="Y69" i="27"/>
  <c r="Y67" i="27"/>
  <c r="AA53" i="27"/>
  <c r="AA77" i="27"/>
  <c r="AA81" i="27"/>
  <c r="B28" i="40" l="1" a="1"/>
  <c r="B28" i="40" s="1"/>
  <c r="B27" i="40" a="1"/>
  <c r="B27" i="40" s="1"/>
  <c r="B26" i="40" a="1"/>
  <c r="B26" i="40" s="1"/>
  <c r="B25" i="40" a="1"/>
  <c r="B25" i="40" s="1"/>
  <c r="B12" i="40" a="1"/>
  <c r="B12" i="40" s="1"/>
  <c r="B13" i="40"/>
  <c r="B29" i="40" a="1"/>
  <c r="B29" i="40" s="1"/>
  <c r="B30" i="40" a="1"/>
  <c r="B30" i="40" s="1"/>
  <c r="B11" i="40" a="1"/>
  <c r="B11" i="40" s="1"/>
  <c r="B9" i="40"/>
  <c r="B3" i="34" a="1"/>
  <c r="B3" i="34" s="1"/>
  <c r="B22" i="40" a="1"/>
  <c r="B22" i="40" s="1"/>
  <c r="B21" i="40" a="1"/>
  <c r="B21" i="40" s="1"/>
  <c r="B20" i="40" a="1"/>
  <c r="B20" i="40" s="1"/>
  <c r="B19" i="40" a="1"/>
  <c r="B19" i="40" s="1"/>
  <c r="B18" i="40" a="1"/>
  <c r="B18" i="40" s="1"/>
  <c r="B17" i="40" a="1"/>
  <c r="B17" i="40" s="1"/>
  <c r="H28" i="40" l="1" a="1"/>
  <c r="H28" i="40" s="1"/>
  <c r="H27" i="40" a="1"/>
  <c r="H27" i="40" s="1"/>
  <c r="R67" i="13" l="1"/>
  <c r="R66" i="13"/>
  <c r="R65" i="13"/>
  <c r="R64" i="13"/>
  <c r="R63" i="13"/>
  <c r="R62" i="13"/>
  <c r="R61" i="13"/>
  <c r="R60" i="13"/>
  <c r="E17" i="40" l="1" a="1"/>
  <c r="E17" i="40" s="1"/>
  <c r="E30" i="40" a="1"/>
  <c r="E30" i="40" s="1"/>
  <c r="E25" i="40" a="1"/>
  <c r="E25" i="40" s="1"/>
  <c r="E9" i="40"/>
  <c r="E14" i="40" a="1"/>
  <c r="E14" i="40" s="1"/>
  <c r="AB2" i="36"/>
  <c r="W2" i="36"/>
  <c r="W3" i="36"/>
  <c r="V2" i="36"/>
  <c r="V3" i="36"/>
  <c r="C3" i="34"/>
  <c r="AC2" i="36"/>
  <c r="O2" i="36"/>
  <c r="O3" i="36"/>
  <c r="L2" i="36"/>
  <c r="AB3" i="36"/>
  <c r="X3" i="36"/>
  <c r="AC3" i="36"/>
  <c r="Z3" i="36"/>
  <c r="K2" i="36"/>
  <c r="K3" i="36"/>
  <c r="M3" i="36"/>
  <c r="N3" i="36"/>
  <c r="Y3" i="36" s="1"/>
  <c r="L3" i="36"/>
  <c r="X2" i="36"/>
  <c r="Z2" i="36"/>
  <c r="N2" i="36"/>
  <c r="M2" i="36"/>
  <c r="E28" i="40" l="1" a="1"/>
  <c r="E28" i="40" s="1"/>
  <c r="E13" i="40"/>
  <c r="E20" i="40" a="1"/>
  <c r="E20" i="40" s="1"/>
  <c r="E10" i="40" a="1"/>
  <c r="E10" i="40" s="1"/>
  <c r="E26" i="40" a="1"/>
  <c r="E26" i="40" s="1"/>
  <c r="E12" i="40" a="1"/>
  <c r="E12" i="40" s="1"/>
  <c r="E21" i="40" a="1"/>
  <c r="E21" i="40" s="1"/>
  <c r="E18" i="40" a="1"/>
  <c r="E18" i="40" s="1"/>
  <c r="E29" i="40" a="1"/>
  <c r="E29" i="40" s="1"/>
  <c r="AA3" i="36"/>
  <c r="Y2" i="36"/>
  <c r="AA2" i="36"/>
  <c r="E11" i="40" l="1" a="1"/>
  <c r="E11" i="40" s="1"/>
  <c r="E27" i="40" a="1"/>
  <c r="E27" i="40" s="1"/>
  <c r="E19" i="40" a="1"/>
  <c r="E19" i="40" s="1"/>
  <c r="H9" i="40"/>
  <c r="H25" i="40" a="1"/>
  <c r="H25" i="40" s="1"/>
  <c r="H17" i="40" a="1"/>
  <c r="H17" i="40" s="1"/>
  <c r="D3" i="34"/>
  <c r="H12" i="40" a="1"/>
  <c r="H12" i="40" s="1"/>
  <c r="H13" i="40"/>
  <c r="H20" i="40" a="1"/>
  <c r="H20" i="40" s="1"/>
  <c r="H26" i="40" a="1"/>
  <c r="H26" i="40" s="1"/>
  <c r="H21" i="40" l="1" a="1"/>
  <c r="H21" i="40" s="1"/>
  <c r="H29" i="40" a="1"/>
  <c r="H29" i="40" s="1"/>
  <c r="H18" i="40" a="1"/>
  <c r="H18" i="40" s="1"/>
  <c r="H10" i="40" a="1"/>
  <c r="H10" i="40" s="1"/>
  <c r="H19" i="40" l="1" a="1"/>
  <c r="H19" i="40" s="1"/>
  <c r="H11" i="40" a="1"/>
  <c r="H11" i="4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tc={29873D80-76A8-46C0-AFB2-2D7FF6664F47}</author>
  </authors>
  <commentList>
    <comment ref="A1" authorId="0" shapeId="0" xr:uid="{29873D80-76A8-46C0-AFB2-2D7FF6664F47}">
      <text>
        <t>[Threaded comment]
Your version of Excel allows you to read this threaded comment; however, any edits to it will get removed if the file is opened in a newer version of Excel. Learn more: https://go.microsoft.com/fwlink/?linkid=870924
Comment:
    PFA—assuming this tab is for internal use only, can it be hidden before it goes to Lauren for review?</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tc={C299C7C9-1A39-48FD-BD86-2B924DFED714}</author>
    <author>tc={3FF66943-18C0-4B82-9877-6674955A4E98}</author>
  </authors>
  <commentList>
    <comment ref="Q1" authorId="0" shapeId="0" xr:uid="{C299C7C9-1A39-48FD-BD86-2B924DFED714}">
      <text>
        <t>[Threaded comment]
Your version of Excel allows you to read this threaded comment; however, any edits to it will get removed if the file is opened in a newer version of Excel. Learn more: https://go.microsoft.com/fwlink/?linkid=870924
Comment:
    Does the different shading in this column and others have some significance?
Reply:
    Yes. These are either totals or subtotals of the previous columns</t>
      </text>
    </comment>
    <comment ref="BI1" authorId="1" shapeId="0" xr:uid="{3FF66943-18C0-4B82-9877-6674955A4E98}">
      <text>
        <t>[Threaded comment]
Your version of Excel allows you to read this threaded comment; however, any edits to it will get removed if the file is opened in a newer version of Excel. Learn more: https://go.microsoft.com/fwlink/?linkid=870924
Comment:
    Should “Assessments” be plural?
Reply:
    No, assessment is accurate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<sst xmlns="http://schemas.openxmlformats.org/spreadsheetml/2006/main" count="8427" uniqueCount="751">
  <si>
    <t>Report Highlights</t>
  </si>
  <si>
    <t>Data Overview</t>
  </si>
  <si>
    <t>Current YTD Data Table</t>
  </si>
  <si>
    <t xml:space="preserve">Organized current year-to-date entity characteristics and calculated profitability, liquidity, and solvency metrics </t>
  </si>
  <si>
    <t>Note: Use filters to compare entities or view by hospital system, cohort, etc.</t>
  </si>
  <si>
    <t>Current YTD Databook</t>
  </si>
  <si>
    <t>Detailed current year-to-date financial statement data submissions</t>
  </si>
  <si>
    <t>Technical Appendix</t>
  </si>
  <si>
    <t>Key Findings</t>
  </si>
  <si>
    <t>Data Sources</t>
  </si>
  <si>
    <t>Data Caveats</t>
  </si>
  <si>
    <t>Set printing perimeter</t>
  </si>
  <si>
    <t>Note: if Cam adds a print to pdf button, it may add more macros and limit accessibility for others to open</t>
  </si>
  <si>
    <t>Cohort</t>
  </si>
  <si>
    <t>Region</t>
  </si>
  <si>
    <t>All</t>
  </si>
  <si>
    <t>Acute Hospitals</t>
  </si>
  <si>
    <t>Count of Hospitals Reporting</t>
  </si>
  <si>
    <t>Median Total Margin</t>
  </si>
  <si>
    <t>Median Operating Margin</t>
  </si>
  <si>
    <t>Median Non-Operating Margin</t>
  </si>
  <si>
    <t>Count of Hospitals Reporting Operating Profit</t>
  </si>
  <si>
    <t>Academic Medical Center</t>
  </si>
  <si>
    <t>Cape and Islands</t>
  </si>
  <si>
    <t>Community-High Public Payer Hospital</t>
  </si>
  <si>
    <t>Central Massachusetts</t>
  </si>
  <si>
    <t>Hospital Health Systems (HHS)</t>
  </si>
  <si>
    <t>Community Hospital</t>
  </si>
  <si>
    <t>Metro Boston</t>
  </si>
  <si>
    <t>Count of HHS Reporting</t>
  </si>
  <si>
    <t>Teaching Hospital</t>
  </si>
  <si>
    <t>Metro South</t>
  </si>
  <si>
    <t>Metro West</t>
  </si>
  <si>
    <t>Northeastern Massachusetts</t>
  </si>
  <si>
    <t>Southcoast</t>
  </si>
  <si>
    <t>Western Massachusetts</t>
  </si>
  <si>
    <t>Count of HHS Reporting Operating Profit</t>
  </si>
  <si>
    <t>Physician Organizations</t>
  </si>
  <si>
    <t>Count of Phys Orgs Reporting</t>
  </si>
  <si>
    <t>Count of Phys Orgs Reporting Operating Profit</t>
  </si>
  <si>
    <t>Entities not reported: Tenet, Shriners, Steward (HHS)</t>
  </si>
  <si>
    <t>Entities not reported: Steward (HHS)</t>
  </si>
  <si>
    <t>Entities closed: Steward Norwood, Nashoba Valley, Steward Carney</t>
  </si>
  <si>
    <t>Entities opened: North Adams Regional Hospital</t>
  </si>
  <si>
    <t>Entity Name</t>
  </si>
  <si>
    <t>System Affiliation</t>
  </si>
  <si>
    <t>Org ID</t>
  </si>
  <si>
    <t>HHS Org ID</t>
  </si>
  <si>
    <t>Entity Type</t>
  </si>
  <si>
    <t>Cohort (if applicable)</t>
  </si>
  <si>
    <t>High Public Payer Status</t>
  </si>
  <si>
    <t>Teaching Hospital Status</t>
  </si>
  <si>
    <t>Reporting Period</t>
  </si>
  <si>
    <t>Total Operating Revenue</t>
  </si>
  <si>
    <t>Total Revenue</t>
  </si>
  <si>
    <t>Workforce Expenses</t>
  </si>
  <si>
    <t>Temporary Staffing Expenses</t>
  </si>
  <si>
    <t>Total Expenses</t>
  </si>
  <si>
    <t>Excess (Deficit) of Revenue over Expenses</t>
  </si>
  <si>
    <t>Operating Profit (Loss)</t>
  </si>
  <si>
    <t>Operating Margin</t>
  </si>
  <si>
    <t>Non-Operating Margin</t>
  </si>
  <si>
    <t>Total Margin</t>
  </si>
  <si>
    <t>Average Days in Accounts Receivable</t>
  </si>
  <si>
    <t>Average Payment Period</t>
  </si>
  <si>
    <t>Current Ratio</t>
  </si>
  <si>
    <t>Current Days Cash on Hand</t>
  </si>
  <si>
    <t>Total Net Assets or Equity</t>
  </si>
  <si>
    <t>Average Age of Plant</t>
  </si>
  <si>
    <t>Cash Flow to Total Debt</t>
  </si>
  <si>
    <t>Debt Service Coverage Ratio</t>
  </si>
  <si>
    <t>Equity Financing Ratio</t>
  </si>
  <si>
    <t>Long Term Debt to Total Capitalization</t>
  </si>
  <si>
    <t>Baystate Health, Inc.</t>
  </si>
  <si>
    <t xml:space="preserve">Baystate Health </t>
  </si>
  <si>
    <t>HHS</t>
  </si>
  <si>
    <t>Baystate Franklin Medical Center</t>
  </si>
  <si>
    <t>AcuteHospital</t>
  </si>
  <si>
    <t>x</t>
  </si>
  <si>
    <t>Baystate Medical Center</t>
  </si>
  <si>
    <t>Baystate Noble Hospital</t>
  </si>
  <si>
    <t>Baystate Wing Hospital</t>
  </si>
  <si>
    <t>Baystate Medical Practice</t>
  </si>
  <si>
    <t>PhysicianOrganization</t>
  </si>
  <si>
    <t>Berkshire Health Systems, Inc</t>
  </si>
  <si>
    <t>Berkshire Health Systems</t>
  </si>
  <si>
    <t>Berkshire Medical Center</t>
  </si>
  <si>
    <t>Fairview Hospital</t>
  </si>
  <si>
    <t>Berkshire Faculty Services</t>
  </si>
  <si>
    <t>Berkshire Orthopaedic Associates</t>
  </si>
  <si>
    <t>Beth Israel Lahey Health</t>
  </si>
  <si>
    <t>Anna Jaques Hospital</t>
  </si>
  <si>
    <t>Beth Israel Deaconess Hospital - Milton</t>
  </si>
  <si>
    <t>Beth Israel Deaconess Hospital - Needham</t>
  </si>
  <si>
    <t>Beth Israel Deaconess Hospital - Plymouth</t>
  </si>
  <si>
    <t>Beth Israel Deaconess Medical Center</t>
  </si>
  <si>
    <t>Lahey Hospital &amp; Medical Center</t>
  </si>
  <si>
    <t>Mount Auburn Hospital</t>
  </si>
  <si>
    <t>New England Baptist Hospital</t>
  </si>
  <si>
    <t>Specialty Hospital</t>
  </si>
  <si>
    <t>Northeast Hospital</t>
  </si>
  <si>
    <t>Winchester Hospital</t>
  </si>
  <si>
    <t>The Affiliated Physicians Group</t>
  </si>
  <si>
    <t>Community Physicians Associates</t>
  </si>
  <si>
    <t>Harvard Medical Faculty Physicians</t>
  </si>
  <si>
    <t>Jordan Physician Associates, Inc</t>
  </si>
  <si>
    <t>Lahey Clinic</t>
  </si>
  <si>
    <t>Lahey Physician Community Org</t>
  </si>
  <si>
    <t>Mount Auburn Professional Services</t>
  </si>
  <si>
    <t>New England Baptist Medical Associates</t>
  </si>
  <si>
    <t>Northeast Medical Practice</t>
  </si>
  <si>
    <t>Seacoast Affiliated Group Practice</t>
  </si>
  <si>
    <t>Winchester Physician Associates</t>
  </si>
  <si>
    <t>Boston Children's Hospital and Subsidiaries</t>
  </si>
  <si>
    <t>Boston Children's Hospital and Subsid.</t>
  </si>
  <si>
    <t>Boston Children's Hospital</t>
  </si>
  <si>
    <t>Physicians Organization at Children's Hospital, Inc. and Foundation</t>
  </si>
  <si>
    <t>Boston Medical Center Health System</t>
  </si>
  <si>
    <t>Boston Medical Center</t>
  </si>
  <si>
    <t>Boston University Affiliated Physicians</t>
  </si>
  <si>
    <t>BMC Faculty Practice Foundation</t>
  </si>
  <si>
    <t>Cambridge Health Alliance</t>
  </si>
  <si>
    <t>Cape Cod Healthcare, Inc.</t>
  </si>
  <si>
    <t>Cape Cod Healthcare</t>
  </si>
  <si>
    <t>Cape Cod Hospital</t>
  </si>
  <si>
    <t>Falmouth Hospital</t>
  </si>
  <si>
    <t>Medical Affiliates of Cape Cod Inc</t>
  </si>
  <si>
    <t>Dana-Farber Cancer Institute, Inc. and Subsidiaries</t>
  </si>
  <si>
    <t>Dana-Farber Cancer Institute and Subsid.</t>
  </si>
  <si>
    <t>Dana-Farber Cancer Institute</t>
  </si>
  <si>
    <t>Emerson Health System, Inc. and Subsidiaries</t>
  </si>
  <si>
    <t>Emerson Health System Inc. and Subsid.</t>
  </si>
  <si>
    <t>Emerson Hospital</t>
  </si>
  <si>
    <t>Heywood Healthcare System, Inc.</t>
  </si>
  <si>
    <t>Heywood Healthcare</t>
  </si>
  <si>
    <t>Athol Memorial Hospital</t>
  </si>
  <si>
    <t>Heywood Hospital</t>
  </si>
  <si>
    <t>Heywood Medical Group</t>
  </si>
  <si>
    <t>Lawrence General Hospital and Affiliates</t>
  </si>
  <si>
    <t>Lawrence General Hospital</t>
  </si>
  <si>
    <t>Community Medical Associates, Inc.</t>
  </si>
  <si>
    <t>Mass General Brigham</t>
  </si>
  <si>
    <t>Brigham and Women's Faulkner Hospital</t>
  </si>
  <si>
    <t>Brigham and Women's Hospital</t>
  </si>
  <si>
    <t>Cooley Dickinson Hospital</t>
  </si>
  <si>
    <t>Martha's Vineyard Hospital</t>
  </si>
  <si>
    <t>Massachusetts Eye and Ear Infirmary</t>
  </si>
  <si>
    <t>Massachusetts General Hospital</t>
  </si>
  <si>
    <t>Nantucket Cottage Hospital</t>
  </si>
  <si>
    <t>Newton-Wellesley Hospital</t>
  </si>
  <si>
    <t>North Shore Medical Center</t>
  </si>
  <si>
    <t>Brigham and Women's Physicians Organization</t>
  </si>
  <si>
    <t>CD Practice Associates</t>
  </si>
  <si>
    <t>Massachusetts Eye and Ear Associates, Inc</t>
  </si>
  <si>
    <t>Massachusetts General Hospital Physicians Organization</t>
  </si>
  <si>
    <t>Nantucket Physician Organization</t>
  </si>
  <si>
    <t>Newton-Wellesley Physician Hospital Group</t>
  </si>
  <si>
    <t>North Shore Physicians Group</t>
  </si>
  <si>
    <t>Partners Community Physician Organization</t>
  </si>
  <si>
    <t>Milford Regional Medical Center</t>
  </si>
  <si>
    <t>UMass Memorial Health Care</t>
  </si>
  <si>
    <t>Milford Regional Physician Group</t>
  </si>
  <si>
    <t>Signature Healthcare Corporations</t>
  </si>
  <si>
    <t>Signature Healthcare Corporation</t>
  </si>
  <si>
    <t>Signature Healthcare Brockton Hospital</t>
  </si>
  <si>
    <t>Signature Healthcare Medical Group</t>
  </si>
  <si>
    <t>South Shore Health and Educational Corporation and Subsidiaries</t>
  </si>
  <si>
    <t>South Shore Health System</t>
  </si>
  <si>
    <t>South Shore Hospital</t>
  </si>
  <si>
    <t>Coastal Medical Associates, Inc</t>
  </si>
  <si>
    <t>Southcoast Health Systems, Inc.</t>
  </si>
  <si>
    <t>Southcoast Hospitals Group</t>
  </si>
  <si>
    <t>Southcoast Physician Group</t>
  </si>
  <si>
    <t>Morton Hospital</t>
  </si>
  <si>
    <t>Brown University Health</t>
  </si>
  <si>
    <t>Good Samaritan</t>
  </si>
  <si>
    <t>Holy Family Hospital</t>
  </si>
  <si>
    <t>St. Anne's Hospital</t>
  </si>
  <si>
    <t>St. Elizabeth's Medical Center</t>
  </si>
  <si>
    <t>Sturdy Memorial Foundation, Inc. and Affiliates</t>
  </si>
  <si>
    <t>Sturdy Memorial Foundation</t>
  </si>
  <si>
    <t>Sturdy Memorial Hospital</t>
  </si>
  <si>
    <t>Sturdy Memorial Associates, Inc</t>
  </si>
  <si>
    <t>Trinity Health</t>
  </si>
  <si>
    <t>Mercy Medical Center</t>
  </si>
  <si>
    <t>Mercy Inpatient Medical Associates, Inc</t>
  </si>
  <si>
    <t>Mercy Medical Group,Inc.</t>
  </si>
  <si>
    <t>Mercy Specialist Physicians</t>
  </si>
  <si>
    <t>Pioneer Valley Cardiology Associates, Inc</t>
  </si>
  <si>
    <t>Riverbend Medical Group, Inc</t>
  </si>
  <si>
    <t>Tufts Medicine</t>
  </si>
  <si>
    <t>Lowell General Hospital</t>
  </si>
  <si>
    <t>Melrose-Wakefield Healthcare</t>
  </si>
  <si>
    <t>Tufts Medical Center</t>
  </si>
  <si>
    <t>Circle Health Physicians Inc</t>
  </si>
  <si>
    <t>Hallmark Health Medical Associates</t>
  </si>
  <si>
    <t>Tufts Medical Center Physician Organization</t>
  </si>
  <si>
    <t>UMass  Memorial Health Care. Inc.</t>
  </si>
  <si>
    <t>Harrington Memorial Hospital</t>
  </si>
  <si>
    <t>HealthAlliance-Clinton Hospital</t>
  </si>
  <si>
    <t>Marlborough Hospital</t>
  </si>
  <si>
    <t>UMass Memorial Medical Center</t>
  </si>
  <si>
    <t>UMass Memorial Medical Group Inc.</t>
  </si>
  <si>
    <t>Valley Health System, Inc.</t>
  </si>
  <si>
    <t>Valley Health System</t>
  </si>
  <si>
    <t>Holyoke Medical Center</t>
  </si>
  <si>
    <t>Western Mass Physician Associates</t>
  </si>
  <si>
    <t>North Adams Regional Hospital</t>
  </si>
  <si>
    <t>Organization Name</t>
  </si>
  <si>
    <t>Organization Type</t>
  </si>
  <si>
    <t>Submission Period Year</t>
  </si>
  <si>
    <t>Year Ending 
Date</t>
  </si>
  <si>
    <t>Org Quarter</t>
  </si>
  <si>
    <t>Number Of Months</t>
  </si>
  <si>
    <t>Quarter Range</t>
  </si>
  <si>
    <t>Cash and Cash Equivalents</t>
  </si>
  <si>
    <t>Short Term Investments</t>
  </si>
  <si>
    <t>Current Assets Whose Use is Limited</t>
  </si>
  <si>
    <t>Net Patient Accounts Receivable</t>
  </si>
  <si>
    <t>Receivables Due From Affiliates</t>
  </si>
  <si>
    <t>Third Party Settlements</t>
  </si>
  <si>
    <t>Other Current Assets</t>
  </si>
  <si>
    <t>Total Current Assets</t>
  </si>
  <si>
    <t>Non Current Assets Whose Use is Limited</t>
  </si>
  <si>
    <t>Contribution Receivables</t>
  </si>
  <si>
    <t>Interest in Net Assets</t>
  </si>
  <si>
    <t>Investment in Affiliates</t>
  </si>
  <si>
    <t>Gross Property Plant and Equipment</t>
  </si>
  <si>
    <t>Less Accumulated Depreciation</t>
  </si>
  <si>
    <t>Net Property Plant and Equipment</t>
  </si>
  <si>
    <t>Other Non Current Assets</t>
  </si>
  <si>
    <t>Total Non Current Assets</t>
  </si>
  <si>
    <t>Total Assets</t>
  </si>
  <si>
    <t>Current Long Term Debt</t>
  </si>
  <si>
    <t>Estimated Third Party Settlements</t>
  </si>
  <si>
    <t>Current Liabilities Due to Affiliates</t>
  </si>
  <si>
    <t>Other Current Liabilities</t>
  </si>
  <si>
    <t>Total Current Liabilities</t>
  </si>
  <si>
    <t>Long Term Debt Net of Current Portion</t>
  </si>
  <si>
    <t>Non Current Liabilities Due to Affiliates</t>
  </si>
  <si>
    <t>Other Non Current Liabilities</t>
  </si>
  <si>
    <t>Total Non Current Liabilities</t>
  </si>
  <si>
    <t>Total Liabilities</t>
  </si>
  <si>
    <t>Net Unrestricted Assets</t>
  </si>
  <si>
    <t>Net Temporarily Restricted Assets</t>
  </si>
  <si>
    <t>Net Permanently Restricted Assets</t>
  </si>
  <si>
    <t>Total Liabilities And Net Assets or Equity</t>
  </si>
  <si>
    <t>Net Patient Service Revenue</t>
  </si>
  <si>
    <t>Alternative Payment Methods</t>
  </si>
  <si>
    <t>Other Operating Revenue</t>
  </si>
  <si>
    <t xml:space="preserve">  Other Operating Revenue: Federal COVID-19 Relief Funds</t>
  </si>
  <si>
    <t xml:space="preserve">     Other Operating Revenue: State &amp; Other COVID-19 Relief Funds</t>
  </si>
  <si>
    <t>Net Assets Released From Restrictions Used for Operations</t>
  </si>
  <si>
    <t>Investment Income</t>
  </si>
  <si>
    <t>Net Contribution Revenue</t>
  </si>
  <si>
    <t>Unrealized Gains/Losses</t>
  </si>
  <si>
    <t>Non Operating Gains Losses</t>
  </si>
  <si>
    <t>Other Non-Operating Revenue</t>
  </si>
  <si>
    <t>Total Non Operating Revenue</t>
  </si>
  <si>
    <t>Total Unrestricted Revenue Gains and Other Support</t>
  </si>
  <si>
    <t>Salary and Benefit Expense</t>
  </si>
  <si>
    <t>Outside Medical and Pharmacy Services</t>
  </si>
  <si>
    <t>Depreciation and Amortization Expense</t>
  </si>
  <si>
    <t>Interest Expense</t>
  </si>
  <si>
    <t>Health Safety Net Assessment</t>
  </si>
  <si>
    <t>Other Operating Expenses</t>
  </si>
  <si>
    <t>Net Nonrecurring Gains and Losses</t>
  </si>
  <si>
    <t>Total Expenses Including Nonrecurring Gains Losses</t>
  </si>
  <si>
    <t>Total Excess of Revenue Gains and Other Support Over Expenses</t>
  </si>
  <si>
    <t>Transfers from to Parent and Affiliates</t>
  </si>
  <si>
    <t>Other Changes in Unrestricted Net Assets</t>
  </si>
  <si>
    <t>Sub Total Increase / Decrease in Unrestricted Net Assets</t>
  </si>
  <si>
    <t>Changes in Unrestricted Assets Related to Pension Activities</t>
  </si>
  <si>
    <t>Changes in Accounting Principles</t>
  </si>
  <si>
    <t>Total Increase or Decrease in Unrestricted Net Assets</t>
  </si>
  <si>
    <t>Sep 30</t>
  </si>
  <si>
    <t>Jun 30</t>
  </si>
  <si>
    <t>Milford Regional Medical Center, Inc. and Affiliates</t>
  </si>
  <si>
    <t>Baystate Westfield Medical Corporation</t>
  </si>
  <si>
    <t>Data Notes:</t>
  </si>
  <si>
    <t>Shriners and Tenet have a fiscal year end date of December 31 and therefore their data is not due at this time.</t>
  </si>
  <si>
    <t>Physician Organizations are only required to submit statement of operations data</t>
  </si>
  <si>
    <r>
      <rPr>
        <b/>
        <sz val="8"/>
        <color rgb="FF000000"/>
        <rFont val="Segoe UI"/>
        <family val="2"/>
      </rPr>
      <t xml:space="preserve">Year Ending 
</t>
    </r>
    <r>
      <rPr>
        <b/>
        <sz val="8"/>
        <color rgb="FF000000"/>
        <rFont val="Segoe UI"/>
        <family val="2"/>
      </rPr>
      <t>Date</t>
    </r>
  </si>
  <si>
    <t>Temporary RN Staffing:
Total Amount Spent</t>
  </si>
  <si>
    <t>Temporary RN Staffing:
Total Hours</t>
  </si>
  <si>
    <t>Temporary RN Staffing:
Line Reported on in Standardized Financials</t>
  </si>
  <si>
    <t>Temporary RN Staffing:
Reported in Audited Financials as</t>
  </si>
  <si>
    <t>Temporary non-RN Clinical Staffing:
Total Amount Spent</t>
  </si>
  <si>
    <t>Temporary non-RN Clinical Staffing:
Total Hours</t>
  </si>
  <si>
    <t>Temporary non-RN Clinical Staffing:
Line Reported on in Standardized Financials</t>
  </si>
  <si>
    <t>Temporary non-RN Clinical Staffing: 
Reported in Audited Financials as</t>
  </si>
  <si>
    <t>Temporary Physician/Hospitalist Staffing:
Total Amount Spent</t>
  </si>
  <si>
    <t>Temporary Physician/Hospitalist Staffing:
Total Hours</t>
  </si>
  <si>
    <t>Temporary Physician/Hospitalist Staffing:
Line Reported on in Standardized Financials</t>
  </si>
  <si>
    <t>Temporary Physician/Hospitalist Staffing:
Reported in Audited Financials as</t>
  </si>
  <si>
    <r>
      <rPr>
        <sz val="8"/>
        <color rgb="FF000000"/>
        <rFont val="Segoe UI"/>
        <family val="2"/>
      </rPr>
      <t xml:space="preserve">10/01/2024-12/31/2024
</t>
    </r>
  </si>
  <si>
    <t xml:space="preserve">71: Other Operating Expenses </t>
  </si>
  <si>
    <t>SUPPLIES AND OTHER</t>
  </si>
  <si>
    <t>66.1: Salary and Benefit Expense</t>
  </si>
  <si>
    <t>Salaries &amp; Wages</t>
  </si>
  <si>
    <t>Employee Compensation and Benefits</t>
  </si>
  <si>
    <t>Supplies &amp; Other Expenses</t>
  </si>
  <si>
    <t>Supplies &amp; Expense</t>
  </si>
  <si>
    <t>Harrington Physician Services</t>
  </si>
  <si>
    <t>Supplies and other expenses</t>
  </si>
  <si>
    <t>Physician Compensation</t>
  </si>
  <si>
    <t>Supplies and Other</t>
  </si>
  <si>
    <t>other expenses</t>
  </si>
  <si>
    <t>Purchased Services</t>
  </si>
  <si>
    <t>Wellforce, Inc.</t>
  </si>
  <si>
    <t>Salaries, wages and fringe benefits</t>
  </si>
  <si>
    <t>PURCHASED SERVICES</t>
  </si>
  <si>
    <t>Direct Patient  Care</t>
  </si>
  <si>
    <t>Direct Patient Care</t>
  </si>
  <si>
    <t>Supplies &amp; other expenses</t>
  </si>
  <si>
    <r>
      <rPr>
        <sz val="8"/>
        <color rgb="FF000000"/>
        <rFont val="Segoe UI"/>
        <family val="2"/>
      </rPr>
      <t xml:space="preserve">07/01/2024-12/31/2024
</t>
    </r>
  </si>
  <si>
    <t>66.2: Outside Medical and Pharmacy Services</t>
  </si>
  <si>
    <t>Purchased services and medical claims</t>
  </si>
  <si>
    <t>Labor Costs</t>
  </si>
  <si>
    <t>Salary and Benefit</t>
  </si>
  <si>
    <t xml:space="preserve">
</t>
  </si>
  <si>
    <t>TECHNICAL APPENDIX</t>
  </si>
  <si>
    <t>I. Description of Report Terms</t>
  </si>
  <si>
    <t>List of definitions and more descriptive details of report terms found in data table headers.</t>
  </si>
  <si>
    <t>Characteristics</t>
  </si>
  <si>
    <t>Cohort Designations</t>
  </si>
  <si>
    <t>For HFY 2025, hospitals are assigned to cohorts based on the data reported in the HFY 2023 Massachusetts Hospital Cost Report.</t>
  </si>
  <si>
    <t>High Public Payer hospitals (HPP) must have received more than 63% of its Gross Patient Service Revenue from government payers and free care.</t>
  </si>
  <si>
    <t>Teaching hospitals are those hospitals that report at least 25 full-time equivalent medical school residents per one hundred inpatient beds in accordance with Medicare Payment Advisory Commission (MedPAC).</t>
  </si>
  <si>
    <t>The geographic regions presented in this report are derived from the Health Policy Commission (HPC) static geographic regions. The HPC regions were rolled up into larger regions for this publication to facilitate better comparison within each geographic area. See HFY 2023 Hospital Profiles Technical Appendix for more detail</t>
  </si>
  <si>
    <t>HFY 2023 Hospital Profiles Technical Appendix</t>
  </si>
  <si>
    <t>The range of time with cumulative year-to-date financial data for the entity’s fiscal year on behalf of the health system, acute hospital, and affiliated physician organization. Reports are due forty-five days after the end of each quarter. Refer to Fiscal Year End Information section for more information about individual entity’s months of data reported quarterly.</t>
  </si>
  <si>
    <t>II. Description of Financial Metrics</t>
  </si>
  <si>
    <t xml:space="preserve">Financial ratio analysis is one critical component of assessing an entity's financial condition. The Center for Health Information and Analysis (CHIA) reports on profitability, liquidity, and solvency metrics. Below are the descriptions and calculations for each.  </t>
  </si>
  <si>
    <t>Profitability</t>
  </si>
  <si>
    <t>This category evaluates the ability of an entity to generate a surplus. A negative surplus, or loss, is usually a sign of financial difficulty.</t>
  </si>
  <si>
    <t>Operating income is income from normal operations of an entity, including patient care and other activities, such as research, gift shops, parking, and cafeteria, minus the expenses associated with such activities. Operating Margin is a critical ratio that measures how profitable the entity is when looking at the performance of its primary activities.</t>
  </si>
  <si>
    <t>Operating Margin = (Total Operating Revenue – Total Expenses Including Nonrecurring Gains or Losses) / Total Unrestricted Revenue, Gains and Other Support</t>
  </si>
  <si>
    <t>Non-operating income includes items that are not related to operations, such as investment income, contributions, gains from the sale of assets and other unrelated business activities.</t>
  </si>
  <si>
    <t>Non-Operating Margin = Total Non-Operating Revenue / Total Unrestricted Revenue, Gains and Other Support</t>
  </si>
  <si>
    <t>This ratio evaluates the overall profitability of the entity using both operating surplus (or loss) and non-operating surplus (or loss).</t>
  </si>
  <si>
    <t>Total Margin = Total Excess of Revenue, Gains and Other Support Over Expenses / Total Unrestricted Revenue, Gains and Other Support</t>
  </si>
  <si>
    <t>Liquidity</t>
  </si>
  <si>
    <t>This category evaluates the ability of the entity to generate cash for normal business operations. A worsening liquidity position is usually a strong indication that an entity is experiencing financial distress.</t>
  </si>
  <si>
    <t>This ratio measures the average number of days in the collection period. A larger number of days represent cash that is unavailable for use in operations.</t>
  </si>
  <si>
    <t>Average Days in Accounts Receivable = Net Patient Accounts Receivable/(Net Patient Service Revenue / Days in Period)</t>
  </si>
  <si>
    <t>This ratio measures the average number of days it takes an entity to pay its bills.</t>
  </si>
  <si>
    <t>Average Payment Period = (Total Current Liabilities – Estimated Third Party Settlements) / [(Total Expenses – Depreciation and Amortization Expense) / # Days in period]*</t>
  </si>
  <si>
    <t>This ratio measures the entity's ability to meet its current liabilities with its current assets (assets expected to be realized in cash during the fiscal year). A ratio of 1.0 or higher indicates that all current liabilities could be adequately covered by the entity's existing current assets.</t>
  </si>
  <si>
    <t>Current Ratio = Total Current Assets / Total Current Liabilities</t>
  </si>
  <si>
    <t>Measures how long the entity can operate without any revenue inflow. This is a measure of the strength of available cash relative to an entity’s operations.</t>
  </si>
  <si>
    <t>Days Cash on Hand = (Cash + Cash Equivalents + Short Term Investments) / [(Total Expenses – Depreciation and Amortization) / Days in Period]</t>
  </si>
  <si>
    <t>Solvency</t>
  </si>
  <si>
    <t>This category evaluates the health of an entity's capital structure, measuring an entity’s ability to meet its financing commitments and the entity’s ability to take on more debt. Both measures are critical to the entity's long-term solvency.</t>
  </si>
  <si>
    <t>Indicates the financial age of the fixed assets of the organization. The older the average age, the greater the short-term need for capital resources.</t>
  </si>
  <si>
    <t>Average Age of Plant = Accumulated Depreciation / Depreciation and Amortization Expense</t>
  </si>
  <si>
    <t>This ratio reflects the amount of cash flow being applied to total outstanding debt (all current liabilities in addition to long-term debt) and reflects how much cash can be applied to debt repayment. The lower the ratio, the more likely an entity will be unable to meet debt payments of interest and principal, and the higher the likelihood of violating any debt covenants.</t>
  </si>
  <si>
    <t>Cash Flow to Total Debt = (Total Excess of Revenue, Gains, and Other Support Over Expenses + Depreciation and Amortization Expense - Unrealized Gains Losses) / (Total Current Liabilities + Long Term Debt Net of Current Portion)</t>
  </si>
  <si>
    <t>Debt Service Coverage</t>
  </si>
  <si>
    <t>This ratio measures the ability of an entity to cover current debt obligations with funds derived from both operating and non-operating activity. Higher ratios indicate an entity is better able to meet its financing commitments. A ratio of 1.0 indicates that average income would just cover current interest and principal payments on long-term debt.</t>
  </si>
  <si>
    <t>Debt Service Coverage Ratio = (Total Excess of Revenue, Gains, and Other Support Over Expenses + Depreciation and Amortization Expense + Interest Expense - Unrealized Gains Losses) / (Interest Expense + Current Long Term Debt)</t>
  </si>
  <si>
    <t>Equity Financing</t>
  </si>
  <si>
    <t>This ratio reflects the ability of an entity to take on more debt and is measured by the proportion of total assets financed by equity. Low values indicate an entity used substantial debt financing to fund asset acquisition and therefore may have difficulty taking on more debt to finance further asset acquisition.</t>
  </si>
  <si>
    <t>Equity Financing = Total Net Assets or Equity / Total Assets</t>
  </si>
  <si>
    <t>Measures the ratio of long-term debt to total available capital.</t>
  </si>
  <si>
    <t>Long-Term Debt to Total Capitalization = Non-Current Long-Term Debt / (Non-Current Long-Term Debt + Unrestricted Net Assets)</t>
  </si>
  <si>
    <t>Other Measures</t>
  </si>
  <si>
    <t>The following are individual line items from the Hospital Standardized Financial Filing.</t>
  </si>
  <si>
    <t>Total Surplus (Loss) OR Total Profit (Loss) OR Total Excess of Revenue Over Expenses</t>
  </si>
  <si>
    <t>Total dollar amount of surplus or loss derived from all operating and non-operating activities.</t>
  </si>
  <si>
    <t>For not-for-profit entities, this represents the difference between the assets and liabilities of an entity, comprised of retained earnings from operations and contributions from donors. Changes from year to year are attributable to two major categories: (1) increases and/or decreases in Unrestricted Net Assets, which are affected by operations, and (2) changes in Restricted Net Assets (restricted contributions). The for-profit equivalent of Total Net Assets is Owner’s Equity.</t>
  </si>
  <si>
    <t>Revenue from normal operations of an entity, including patient care and other activities, such as research, gift shops, parking, and cafeteria.</t>
  </si>
  <si>
    <t>The combined revenue derived from all operating and non-operating activities.</t>
  </si>
  <si>
    <t>The total costs for the entity derived from operating and non-operating activities.</t>
  </si>
  <si>
    <t>The total costs for hiring temporary staffing at entities.</t>
  </si>
  <si>
    <t>The total costs for hiring permanent staffing at entities.</t>
  </si>
  <si>
    <t>Total Workforce Expenses = Salary and Benefit Expenses - Total Temporary Staffing Expenses reported as Salary and Benefits</t>
  </si>
  <si>
    <t>Dollar amount of surplus or loss derived from only operating activities.</t>
  </si>
  <si>
    <t>Operating Profit (Loss) = Total Operating Revenue - Total Expenses</t>
  </si>
  <si>
    <r>
      <t xml:space="preserve">Hospital </t>
    </r>
    <r>
      <rPr>
        <sz val="9"/>
        <color rgb="FF92D050"/>
        <rFont val="Arial"/>
        <family val="2"/>
      </rPr>
      <t>{CHECK ANNUALLY}</t>
    </r>
  </si>
  <si>
    <t xml:space="preserve">ORGID </t>
  </si>
  <si>
    <t xml:space="preserve">FACID </t>
  </si>
  <si>
    <t>HHS ORGID</t>
  </si>
  <si>
    <r>
      <t>Cohort</t>
    </r>
    <r>
      <rPr>
        <sz val="9"/>
        <color rgb="FFFF0000"/>
        <rFont val="Arial"/>
        <family val="2"/>
      </rPr>
      <t xml:space="preserve"> </t>
    </r>
    <r>
      <rPr>
        <sz val="9"/>
        <color rgb="FF92D050"/>
        <rFont val="Arial"/>
        <family val="2"/>
      </rPr>
      <t>{UPDATE ANNUALLY}</t>
    </r>
  </si>
  <si>
    <r>
      <t>City/State</t>
    </r>
    <r>
      <rPr>
        <sz val="9"/>
        <color rgb="FFFF0000"/>
        <rFont val="Arial"/>
        <family val="2"/>
      </rPr>
      <t xml:space="preserve"> </t>
    </r>
    <r>
      <rPr>
        <sz val="9"/>
        <color rgb="FF92D050"/>
        <rFont val="Arial"/>
        <family val="2"/>
      </rPr>
      <t>{DOUBLE CHECK for  mergers/closures}</t>
    </r>
  </si>
  <si>
    <t>County</t>
  </si>
  <si>
    <t>Trauma Designation</t>
  </si>
  <si>
    <t xml:space="preserve">Adult Trauma  </t>
  </si>
  <si>
    <t xml:space="preserve">Pedi Trauma </t>
  </si>
  <si>
    <r>
      <t xml:space="preserve">Multi-System Hospital </t>
    </r>
    <r>
      <rPr>
        <sz val="10"/>
        <color rgb="FFD3D3D3"/>
        <rFont val="Arial"/>
        <family val="2"/>
      </rPr>
      <t xml:space="preserve"> </t>
    </r>
    <r>
      <rPr>
        <sz val="10"/>
        <color rgb="FF92D050"/>
        <rFont val="Arial"/>
        <family val="2"/>
      </rPr>
      <t>{CONFIRM ANNUALLY}</t>
    </r>
  </si>
  <si>
    <t>Multi or Single {CONFIRM ANNUALLY}</t>
  </si>
  <si>
    <r>
      <t>Notable Changes -  can include ownership, # beds, trauma designation change</t>
    </r>
    <r>
      <rPr>
        <sz val="10"/>
        <color rgb="FFD3D3D3"/>
        <rFont val="Arial"/>
        <family val="2"/>
      </rPr>
      <t xml:space="preserve"> </t>
    </r>
    <r>
      <rPr>
        <sz val="10"/>
        <color rgb="FF92D050"/>
        <rFont val="Arial"/>
        <family val="2"/>
      </rPr>
      <t>{CONFIRM ANNUALLY}</t>
    </r>
  </si>
  <si>
    <t xml:space="preserve">Tax Status </t>
  </si>
  <si>
    <t>Name</t>
  </si>
  <si>
    <t>Spec Pub Funding</t>
  </si>
  <si>
    <t>SPF commas</t>
  </si>
  <si>
    <t>SPF commas3</t>
  </si>
  <si>
    <r>
      <t xml:space="preserve">FYE </t>
    </r>
    <r>
      <rPr>
        <sz val="9"/>
        <color rgb="FF92D050"/>
        <rFont val="Arial"/>
        <family val="2"/>
      </rPr>
      <t>{CHANGE ANNUALLY}</t>
    </r>
  </si>
  <si>
    <t>Address</t>
  </si>
  <si>
    <t>Latitude</t>
  </si>
  <si>
    <t>Longitude</t>
  </si>
  <si>
    <t>System Name</t>
  </si>
  <si>
    <t>Newburyport, MA</t>
  </si>
  <si>
    <t>Essex</t>
  </si>
  <si>
    <t>Adult: Level 3</t>
  </si>
  <si>
    <t>Level 3</t>
  </si>
  <si>
    <t>Multiple</t>
  </si>
  <si>
    <t>Beth Israel Lahey Health 3/1/19</t>
  </si>
  <si>
    <t>Non-profit</t>
  </si>
  <si>
    <t>CHRTF°</t>
  </si>
  <si>
    <t xml:space="preserve">, </t>
  </si>
  <si>
    <t>25 HIGHLAND AVENUE, NEWBURYPORT, MA, 01950</t>
  </si>
  <si>
    <t>Athol Hospital</t>
  </si>
  <si>
    <t>Athol, MA</t>
  </si>
  <si>
    <t>Worcester</t>
  </si>
  <si>
    <t>Not Applicable</t>
  </si>
  <si>
    <t>2033 MAIN STREET, ATHOL, MA, 01331</t>
  </si>
  <si>
    <t>Greenfield, MA</t>
  </si>
  <si>
    <t>Franklin</t>
  </si>
  <si>
    <t>164 HIGH STREET, GREENFIELD, MA, 01301</t>
  </si>
  <si>
    <t>Springfield, MA</t>
  </si>
  <si>
    <t>Hampden</t>
  </si>
  <si>
    <t xml:space="preserve">Adult: Level 1, Pedi: Level 2 </t>
  </si>
  <si>
    <t>Level 1</t>
  </si>
  <si>
    <t xml:space="preserve">Level 2 </t>
  </si>
  <si>
    <t>HCIIη, CHRTF°</t>
  </si>
  <si>
    <t>759 CHESTNUT STREET, SPRINGFIELD, MA, 01199</t>
  </si>
  <si>
    <t>Westfield, MA</t>
  </si>
  <si>
    <t>115 WEST SILVER STREET, WESTFIELD, MA, 01086</t>
  </si>
  <si>
    <t>Palmer &amp; Ware, MA</t>
  </si>
  <si>
    <t>40 WRIGHT STREET, PALMER, MA, 01069</t>
  </si>
  <si>
    <t>Pittsfield, MA</t>
  </si>
  <si>
    <t>Berkshire</t>
  </si>
  <si>
    <t>HCIIη</t>
  </si>
  <si>
    <t>725 NORTH STREET, PITTSFIELD, MA, 01201</t>
  </si>
  <si>
    <t>Milton, MA</t>
  </si>
  <si>
    <t>Norfolk</t>
  </si>
  <si>
    <t>199 REEDSDALE ROAD, MILTON, MA, 02186</t>
  </si>
  <si>
    <t>Needham, MA</t>
  </si>
  <si>
    <t>148 CHESTNUT STREET, NEEDHAM, MA, 02492</t>
  </si>
  <si>
    <t>Plymouth, MA</t>
  </si>
  <si>
    <t>Plymouth</t>
  </si>
  <si>
    <t>275 SANDWICH STREET, PLYMOUTH, MA, 02360</t>
  </si>
  <si>
    <t>Boston, MA</t>
  </si>
  <si>
    <t>Suffolk</t>
  </si>
  <si>
    <t>Adult: Level 1</t>
  </si>
  <si>
    <t>330 BROOKLINE AVENUE, BOSTON,, MA, 02215</t>
  </si>
  <si>
    <t xml:space="preserve">Pedi: Level 1 </t>
  </si>
  <si>
    <t xml:space="preserve">Level 1 </t>
  </si>
  <si>
    <t>Independent</t>
  </si>
  <si>
    <t>300 LONGWOOD AVENUE, BOSTON, MA, 02115</t>
  </si>
  <si>
    <t xml:space="preserve">Adult: Level 1, Pedi: Level 1 </t>
  </si>
  <si>
    <t>1 BOSTON MEDICAL CENTER PLACE, BOSTON, MA, 02118</t>
  </si>
  <si>
    <t>1153 CENTRE STREET, JAMAICA PLAIN, MA, 02130</t>
  </si>
  <si>
    <t>75 FRANCIS STREET, BOSTON, MA, 02115</t>
  </si>
  <si>
    <t>Cambridge, Somerville, &amp; Everett, MA</t>
  </si>
  <si>
    <t>Middlesex</t>
  </si>
  <si>
    <t>Municipal</t>
  </si>
  <si>
    <t>350 MAIN STREET, MALDEN, MA, 02148</t>
  </si>
  <si>
    <t>Hyannis, MA</t>
  </si>
  <si>
    <t>Barnstable</t>
  </si>
  <si>
    <t>27 PARK STREET, HYANNIS, MA, 02601</t>
  </si>
  <si>
    <t>Northampton, MA</t>
  </si>
  <si>
    <t>Hampshire</t>
  </si>
  <si>
    <t>30 LOCUST STREET, NORTHAMPTON, MA, 01060</t>
  </si>
  <si>
    <t>450 BROOKLINE AVE, BOSTON, MA, 02215</t>
  </si>
  <si>
    <t>Concord, MA</t>
  </si>
  <si>
    <t>133 ORNC, CONCORD, MA, 01742</t>
  </si>
  <si>
    <t>Great Barrington, MA</t>
  </si>
  <si>
    <t>29 LEWIS AVE, GREAT BARRINGTON, MA, 01230</t>
  </si>
  <si>
    <t>Falmouth, MA</t>
  </si>
  <si>
    <t>100 TER HEUN DRIVE, FALMOUTH, MA, 02574</t>
  </si>
  <si>
    <t>Good Samaritan Medical Center</t>
  </si>
  <si>
    <t>Brockton, MA</t>
  </si>
  <si>
    <t>For profit</t>
  </si>
  <si>
    <t>Steward Good Samaritan Medical Center</t>
  </si>
  <si>
    <t>235 NORTH PEARL STREET, BROCKTON, MA, 02301</t>
  </si>
  <si>
    <t>Southbridge, MA</t>
  </si>
  <si>
    <t>UMass Memorial Health Care 7/1/21</t>
  </si>
  <si>
    <t>100 SOUTH STREET, SOUTHBRIDGE, MA, 01550</t>
  </si>
  <si>
    <t>Leominster, Fitchburg &amp; Clinton, MA</t>
  </si>
  <si>
    <t>60 HOSPITAL ROAD, LEOMINSTER, MA, 01453</t>
  </si>
  <si>
    <t>Gardner, MA</t>
  </si>
  <si>
    <t>242 GREEN STREET, GARDNER, MA, 01440</t>
  </si>
  <si>
    <t>Methuen, MA</t>
  </si>
  <si>
    <t>Steward Holy Family Hospital</t>
  </si>
  <si>
    <t>70 EAST STREET, METHUEN, MA, 01884-0156</t>
  </si>
  <si>
    <t>Holyoke, MA</t>
  </si>
  <si>
    <t>575 BEECH STREET, HOLYOKE, MA, 01040</t>
  </si>
  <si>
    <t>Burlington &amp; Peabody, MA</t>
  </si>
  <si>
    <t>41 MALL ROAD, BURLINGTON, MA, 01805</t>
  </si>
  <si>
    <t>Lawrence, MA</t>
  </si>
  <si>
    <t>ONE GENERAL STREET, LAWRENCE, MA, 01841</t>
  </si>
  <si>
    <t>Lowell,  MA</t>
  </si>
  <si>
    <t>295 VARNUM AVE, LOWELL, MA, 01854</t>
  </si>
  <si>
    <t>Marlborough, MA</t>
  </si>
  <si>
    <t>157 UNION STREET, MARLBOROUGH, MA, 01752</t>
  </si>
  <si>
    <t>Oak Bluffs, MA</t>
  </si>
  <si>
    <t>Dukes</t>
  </si>
  <si>
    <t>ONE HOSPITAL ROAD, OAK BLUFFS, MA, 02557</t>
  </si>
  <si>
    <t>Joined Mass General Brigham 4/1/18</t>
  </si>
  <si>
    <t>243 CHARLES STREET, BOSTON, MA, 02114</t>
  </si>
  <si>
    <t>55 FRUIT STREET, BOSTON, MA, 02114</t>
  </si>
  <si>
    <t>MelroseWakefield Healthcare</t>
  </si>
  <si>
    <t>Medford &amp; Melrose, MA</t>
  </si>
  <si>
    <t>Melrose Wakefield Healthcare</t>
  </si>
  <si>
    <t>170 GOVERNORS AVE, MEDFORD, MA, 02155</t>
  </si>
  <si>
    <t>271 CAREW STREET, SPRINGFIELD, MA, 01102</t>
  </si>
  <si>
    <t>MetroWest Medical Center</t>
  </si>
  <si>
    <t>Framingham &amp; Natick, MA</t>
  </si>
  <si>
    <t>Tenet Healthcare</t>
  </si>
  <si>
    <t>67 UNION STREET, NATICK, MA, 01760</t>
  </si>
  <si>
    <t>Milford, MA</t>
  </si>
  <si>
    <t>14 PROSPECT STREET, MILFORD, MA, 01757</t>
  </si>
  <si>
    <t>Morton Hospital, A Steward Family Hospital</t>
  </si>
  <si>
    <t>Taunton, MA</t>
  </si>
  <si>
    <t>Bristol</t>
  </si>
  <si>
    <t>88 WASHINGTON STREET, TAUNTON, MA, 02780</t>
  </si>
  <si>
    <t>Cambridge, MA</t>
  </si>
  <si>
    <t>330 MOUNT AUBURN STREET, CAMBRIDGE, MA, 02238</t>
  </si>
  <si>
    <t>Nantucket, MA</t>
  </si>
  <si>
    <t>Nantucket</t>
  </si>
  <si>
    <t>57 PROSPECT STREET, NANTUCKET, MA, 02554-2799</t>
  </si>
  <si>
    <t>125 PARKER HILL AVENUE, BOSTON, MA, 02120</t>
  </si>
  <si>
    <t>Newton, MA</t>
  </si>
  <si>
    <t>2014 WASHINGTON STREET, NEWTON, MA, 02467</t>
  </si>
  <si>
    <t>North Adams, MA</t>
  </si>
  <si>
    <t>Berkshire reopened in 2024</t>
  </si>
  <si>
    <t>North Adams Hospital</t>
  </si>
  <si>
    <t>71 HOSPITAL AVENUE, NORTH ADAMS, MA 01247</t>
  </si>
  <si>
    <t>Salem &amp; Lynn, MA</t>
  </si>
  <si>
    <t>81 HIGHLAND AVENUE, SALEM, MA, 01970</t>
  </si>
  <si>
    <t>Beverly &amp; Gloucester, MA</t>
  </si>
  <si>
    <t>85 HERRICK STREET, BEVERLY, MA, 01915-1777</t>
  </si>
  <si>
    <t>Saint Anne's Hospital</t>
  </si>
  <si>
    <t>Fall River, MA</t>
  </si>
  <si>
    <t>Steward Saint Anne's Hospital</t>
  </si>
  <si>
    <t>795 MIDDLE STREET, FALL RIVER, MA, 02721</t>
  </si>
  <si>
    <t>Brighton, MA</t>
  </si>
  <si>
    <t>Level 2</t>
  </si>
  <si>
    <t>Steward St. Elizabeth's Medical Center</t>
  </si>
  <si>
    <t>736 CAMBRIDGE STREET, BOSTON, MA, 02135</t>
  </si>
  <si>
    <t>Saint Vincent Hospital</t>
  </si>
  <si>
    <t>Worcester, MA</t>
  </si>
  <si>
    <t>123 SUMMER STREET, WORCESTER, MA, 01608</t>
  </si>
  <si>
    <t>Shriners Hospitals for Children - Boston</t>
  </si>
  <si>
    <t>Shriners Hospital for Children</t>
  </si>
  <si>
    <t>51 BLOSSOM STREET, BOSTON, MA, 02114</t>
  </si>
  <si>
    <t>680 CENTRE STREET, BROCKTON, MA, 02302</t>
  </si>
  <si>
    <t>South Weymouth, MA</t>
  </si>
  <si>
    <t>Adult: Level 2</t>
  </si>
  <si>
    <t>55 FOGG ROAD, SOUTH WEYMOUTH, MA, 02190</t>
  </si>
  <si>
    <t>Fall River, New Bedford, &amp; Wareham, MA</t>
  </si>
  <si>
    <t>363 HIGHLAND AVE, FALL RIVER, MA, 02720</t>
  </si>
  <si>
    <t>Attleboro, MA</t>
  </si>
  <si>
    <t>211 PARK STREET, ATTLEBORO, MA, 02703</t>
  </si>
  <si>
    <t>800 WASHINGTON ST, BOSTON, MA, 02111</t>
  </si>
  <si>
    <t>55 LAKE AVE. NORTH, WORCESTER, MA, 01655</t>
  </si>
  <si>
    <t>Winchester, MA</t>
  </si>
  <si>
    <t>41 HIGHLAND AVENUE, WINCHESTER, MA, 01890</t>
  </si>
  <si>
    <t>xBaystate Mary Lane Hospital</t>
  </si>
  <si>
    <t>xN/A</t>
  </si>
  <si>
    <t>Merged w Baystate Wing 9/10/16</t>
  </si>
  <si>
    <t>XBaystate Wing Hospital</t>
  </si>
  <si>
    <t>Merged w Mary Lane 9/10/16</t>
  </si>
  <si>
    <t>xClinton Hospital</t>
  </si>
  <si>
    <t>Merged w HealthAlliance 10/1/17</t>
  </si>
  <si>
    <t>xHealthAlliance Hospital</t>
  </si>
  <si>
    <t>Merged w Clinton Hospital 10/1/17</t>
  </si>
  <si>
    <t>xLowell General Hospital Saints Campus</t>
  </si>
  <si>
    <t>Merged with Lowell in 2012</t>
  </si>
  <si>
    <t>xNorth Adams Regional Hospital</t>
  </si>
  <si>
    <t>Closed in March 2014</t>
  </si>
  <si>
    <t>xQuincy Medical Center</t>
  </si>
  <si>
    <t>Closed in 2014</t>
  </si>
  <si>
    <t>xSteward Holy Family Hospital at Merrimack Valley</t>
  </si>
  <si>
    <t>Merged with Steward Holy Family in August 2014</t>
  </si>
  <si>
    <t>xSteward Carney Hospital</t>
  </si>
  <si>
    <t>xNashoba Valley Medical Center, A Steward Family Hospital</t>
  </si>
  <si>
    <t>xSteward Norwood Hospital</t>
  </si>
  <si>
    <t>CONFIRM MULTI/SINGLE</t>
  </si>
  <si>
    <t>*Last updated 3/18/25</t>
  </si>
  <si>
    <t>*Dark blue highlights = changed from last static data tab</t>
  </si>
  <si>
    <t>*Data based on HFY24 Financials and HFY23 Cost Report Data</t>
  </si>
  <si>
    <t>*Trauma designation data taken from Mass.Gov website on 3/4/25</t>
  </si>
  <si>
    <t>*Ownership changes will reflect YTD changes</t>
  </si>
  <si>
    <t>Tab</t>
  </si>
  <si>
    <t>Current YTD</t>
  </si>
  <si>
    <t>Prior Year</t>
  </si>
  <si>
    <t>2 Years Prior</t>
  </si>
  <si>
    <t>Dates</t>
  </si>
  <si>
    <t>Data through 12/31/2024</t>
  </si>
  <si>
    <t>Hospital Count</t>
  </si>
  <si>
    <t>Expected Hospital Count</t>
  </si>
  <si>
    <t>Notes if not matching Static Data Tab</t>
  </si>
  <si>
    <t>Shriners (Boston), Steward (Good Sam, St. Elizabeth's), and Tenet (MetroWest, Saint Vincent) data not included</t>
  </si>
  <si>
    <t>Tenet, Shriners, Steward not reported</t>
  </si>
  <si>
    <t>Steward HHS not reported</t>
  </si>
  <si>
    <t>Shriners Springfield, Nashoba Valley, Norwood dissolved and North Adams was added</t>
  </si>
  <si>
    <t>North Adams added</t>
  </si>
  <si>
    <t>HHS Name</t>
  </si>
  <si>
    <t>Total Temporary Staffing Expenses</t>
  </si>
  <si>
    <t>Total Workforce Expenses</t>
  </si>
  <si>
    <t>Days Cash on Hand</t>
  </si>
  <si>
    <t>Total Non-Operating Revenue</t>
  </si>
  <si>
    <t>Days in Period</t>
  </si>
  <si>
    <t>Current Liabilities</t>
  </si>
  <si>
    <t>Current Portion of Long-Term Debt</t>
  </si>
  <si>
    <t>Non-Current Long-Term Debt</t>
  </si>
  <si>
    <t>Unrestricted Net Assets</t>
  </si>
  <si>
    <t>Unrealized Gains and Losses</t>
  </si>
  <si>
    <t>Berkshire Health Systems, Inc.</t>
  </si>
  <si>
    <t>Boston Medical Center Health System, Inc.</t>
  </si>
  <si>
    <t>Shriners Hospitals for Children</t>
  </si>
  <si>
    <t>Shriners Hospitals for Children Boston</t>
  </si>
  <si>
    <t>Tenet Healthcare Corporation</t>
  </si>
  <si>
    <t>MetroWest Physicians Services</t>
  </si>
  <si>
    <t>Saint Vincent Medical Company</t>
  </si>
  <si>
    <t xml:space="preserve">FINANCIAL METRICS (With COVID-19 Relief Funds)
Operating Margin </t>
  </si>
  <si>
    <r>
      <rPr>
        <b/>
        <sz val="8"/>
        <color rgb="FF000000"/>
        <rFont val="Segoe UI"/>
        <family val="2"/>
      </rPr>
      <t xml:space="preserve">FINANCIAL METRICS (With COVID-19 Relief Funds) 
</t>
    </r>
    <r>
      <rPr>
        <b/>
        <sz val="8"/>
        <color rgb="FF000000"/>
        <rFont val="Segoe UI"/>
        <family val="2"/>
      </rPr>
      <t xml:space="preserve">Non Operating Margin </t>
    </r>
  </si>
  <si>
    <t xml:space="preserve"> FINANCIAL METRICS (With COVID-19 Relief Funds)
Total Margin</t>
  </si>
  <si>
    <t xml:space="preserve"> FINANCIAL METRICS (With COVID-19 Relief Funds)
Current Ratio</t>
  </si>
  <si>
    <t xml:space="preserve"> FINANCIAL METRICS (With COVID-19 Relief Funds)
Days in Accounts Receivable</t>
  </si>
  <si>
    <t xml:space="preserve"> FINANCIAL METRICS (With COVID-19 Relief Funds)
Average Payment Period</t>
  </si>
  <si>
    <t xml:space="preserve"> FINANCIAL METRICS (With COVID-19 Relief Funds)
Debt Service Coverage Ratio</t>
  </si>
  <si>
    <t xml:space="preserve"> FINANCIAL METRICS (With COVID-19 Relief Funds)
Cash Flow to Total Debt</t>
  </si>
  <si>
    <t xml:space="preserve"> FINANCIAL METRICS (With COVID-19 Relief Funds)
Equity Financing Ratio </t>
  </si>
  <si>
    <t xml:space="preserve"> FINANCIAL METRICS (With COVID-19 Relief Funds)
Average Age of Plant</t>
  </si>
  <si>
    <t>FINANCIAL METRICS (With COVID-19 Relief Funds) 
Current Days Cash on Hand</t>
  </si>
  <si>
    <r>
      <rPr>
        <b/>
        <sz val="8"/>
        <color rgb="FF000000"/>
        <rFont val="Segoe UI"/>
        <family val="2"/>
      </rPr>
      <t xml:space="preserve">FINANCIAL METRICS (With COVID-19 Relief Funds)
</t>
    </r>
    <r>
      <rPr>
        <b/>
        <sz val="8"/>
        <color rgb="FF000000"/>
        <rFont val="Segoe UI"/>
        <family val="2"/>
      </rPr>
      <t>Long Term Debt to Total Capitalization</t>
    </r>
  </si>
  <si>
    <t>Dec 31</t>
  </si>
  <si>
    <t>Employee compensation and benefits</t>
  </si>
  <si>
    <t>Supplies and Expenses</t>
  </si>
  <si>
    <t>CENTER FOR HEALTH INFORMATION AND ANALYSIS</t>
  </si>
  <si>
    <t>South Coast</t>
  </si>
  <si>
    <t>South Coast Hospitals Group</t>
  </si>
  <si>
    <t>South Coast Health System</t>
  </si>
  <si>
    <t>Total Excess of Revenue Over Expenses = Total Revenue - Total Expenses</t>
  </si>
  <si>
    <t>Massachusetts Hospital and Hospital System Cumulative                  Year-to-Date (YTD) Report</t>
  </si>
  <si>
    <t>CONTENTS</t>
  </si>
  <si>
    <t>    </t>
  </si>
  <si>
    <t>This data is preliminary and subject to change pending further review.</t>
  </si>
  <si>
    <t>Steward Norwood Hospital has been closed to inpatient services since 2020. </t>
  </si>
  <si>
    <t>Signature Brockton Hospital closed due to fire in February 2023 and reopened in August 2024.</t>
  </si>
  <si>
    <t>Tenet Healthcare and Shriners Hospitals for Children have a fiscal year end of December 31 and therefore their data is not due until April 2025. </t>
  </si>
  <si>
    <t>Eight or 9 months of HFY 2024 data was provided for Steward Health Care's affiliated hospitals due to closure or change in ownership. This data has been included in the HFY 2024 annual data.</t>
  </si>
  <si>
    <t>Steward Health Care provided a partial submission that included hospital data but did not include the required HHS and physician organization data.</t>
  </si>
  <si>
    <r>
      <t>Academic medical centers (AMCs)</t>
    </r>
    <r>
      <rPr>
        <sz val="12"/>
        <color rgb="FF313131"/>
        <rFont val="Arial Narrow"/>
        <family val="2"/>
      </rPr>
      <t xml:space="preserve"> are a subset of teaching hospitals. AMCs are characterized by (1) extensive research and teaching programs; (2) extensive resources for tertiary and quaternary care; (3) are principal teaching hospitals for their respective medical schools; and (4) are full service hospitals with case mix intensity greater than 5% above the statewide average.</t>
    </r>
  </si>
  <si>
    <r>
      <t>Teaching hospitals</t>
    </r>
    <r>
      <rPr>
        <sz val="12"/>
        <color rgb="FF313131"/>
        <rFont val="Arial Narrow"/>
        <family val="2"/>
      </rPr>
      <t xml:space="preserve"> are those hospitals that report at least 25 full-time equivalent medical school residents per one hundred inpatient beds in accordance with Medicare Payment Advisory Commission (MedPAC) and do not meet the criteria to be classified as AMCs.</t>
    </r>
  </si>
  <si>
    <r>
      <t>Community hospitals</t>
    </r>
    <r>
      <rPr>
        <sz val="12"/>
        <color rgb="FF313131"/>
        <rFont val="Arial Narrow"/>
        <family val="2"/>
      </rPr>
      <t xml:space="preserve"> are hospitals that do not meet the 25 full-time equivalent medical school residents per one hundred beds criteria to be classified as teaching hospitals and have a public payer mix of less than 63%.</t>
    </r>
  </si>
  <si>
    <r>
      <t>Community-High Public Payer</t>
    </r>
    <r>
      <rPr>
        <sz val="12"/>
        <color rgb="FF313131"/>
        <rFont val="Arial Narrow"/>
        <family val="2"/>
      </rPr>
      <t xml:space="preserve"> </t>
    </r>
    <r>
      <rPr>
        <b/>
        <sz val="12"/>
        <color rgb="FF313131"/>
        <rFont val="Arial Narrow"/>
        <family val="2"/>
      </rPr>
      <t xml:space="preserve">(HPP) hospitals </t>
    </r>
    <r>
      <rPr>
        <sz val="12"/>
        <color rgb="FF313131"/>
        <rFont val="Arial Narrow"/>
        <family val="2"/>
      </rPr>
      <t>are community hospitals that are disproportionately reliant upon public revenues by virtue of a public payer mix of 63% or greater. Public payers include Medicare, MassHealth and other government payers including the Health Safety Net.</t>
    </r>
  </si>
  <si>
    <r>
      <t>Specialty hospitals</t>
    </r>
    <r>
      <rPr>
        <sz val="12"/>
        <color rgb="FF313131"/>
        <rFont val="Arial Narrow"/>
        <family val="2"/>
      </rPr>
      <t xml:space="preserve"> are not included in any cohort comparison analysis due to the unique patient populations they serve and/or the unique sets of services they provide. However, specialty hospitals are included in all statewide median calculations.</t>
    </r>
  </si>
  <si>
    <r>
      <t>Note</t>
    </r>
    <r>
      <rPr>
        <sz val="12"/>
        <color rgb="FF313131"/>
        <rFont val="Arial Narrow"/>
        <family val="2"/>
      </rPr>
      <t>: Some AMCs and teaching hospitals have HPP status.</t>
    </r>
  </si>
  <si>
    <r>
      <t>*</t>
    </r>
    <r>
      <rPr>
        <u/>
        <sz val="12"/>
        <color theme="1"/>
        <rFont val="Arial Narrow"/>
        <family val="2"/>
      </rPr>
      <t>Note</t>
    </r>
    <r>
      <rPr>
        <sz val="12"/>
        <color theme="1"/>
        <rFont val="Arial Narrow"/>
        <family val="2"/>
      </rPr>
      <t>: Number of days in period: Quarter 1= 91.25,   Quarter 2 = 182.5,    Quarter 3 = 273.75, or Annual = 365 days.</t>
    </r>
  </si>
  <si>
    <t>Highlights key notes to this publication which may include, but are not limited to, key findings, data sources, and data caveats</t>
  </si>
  <si>
    <t>Note: Report highlights give context to data in other tabs</t>
  </si>
  <si>
    <t>Current YTD TS Databook</t>
  </si>
  <si>
    <t>Detailed current year-to-date temporary staffing (TS) data submissions</t>
  </si>
  <si>
    <t>List of definitions, calculations, and more descriptive details of terms and financial metrics used throughout report</t>
  </si>
  <si>
    <t>Profitability margins (operating and non-operating) may not add to total margin due to rounding.</t>
  </si>
  <si>
    <t>North Adams Regional Hospital opened in March 2024 and is included for the first time in this data.</t>
  </si>
  <si>
    <t>Note: Use drop-down menus to filter hospital data by Cohort and Region (arrows will show when cursor selects "All" in cells A5 and/or B5 under Cohort and Region cells)</t>
  </si>
  <si>
    <t>Count of Hospitals Reporting Total Profit</t>
  </si>
  <si>
    <t>Count of HHS Reporting Total Profit</t>
  </si>
  <si>
    <t>Count of Phys Orgs Reporting Total Profit</t>
  </si>
  <si>
    <t>Third-Party Settlements</t>
  </si>
  <si>
    <t>Current Assets Whose Use Is Limited</t>
  </si>
  <si>
    <t>Short-Term Investments</t>
  </si>
  <si>
    <t>Non-Current Assets Whose Use is Limited</t>
  </si>
  <si>
    <t>Interest In Net Assets</t>
  </si>
  <si>
    <t>Other Non-Current Assets</t>
  </si>
  <si>
    <t>Total Non-Current Assets</t>
  </si>
  <si>
    <t>Current Long-Term Debt</t>
  </si>
  <si>
    <t>Estimated Third-Party Settlements</t>
  </si>
  <si>
    <t>Long-Term Debt Net of Current Portion</t>
  </si>
  <si>
    <t>Non-Current Liabilities Due to Affiliates</t>
  </si>
  <si>
    <t>Other Non-Current Liabilities</t>
  </si>
  <si>
    <t>Total Non-Current Liabilities</t>
  </si>
  <si>
    <t>Total Liabilities and Net Assets or Equity</t>
  </si>
  <si>
    <t>Non-Operating Gains (Losses)</t>
  </si>
  <si>
    <t>Net Non-Recurring Gains (Losses)</t>
  </si>
  <si>
    <t>Total Expenses Including Non-Recurring Gains (Losses)</t>
  </si>
  <si>
    <t>Transfers From/To Parent and Affiliates</t>
  </si>
  <si>
    <t>Subtotal Increase / Decrease in Unrestricted Net Assets</t>
  </si>
  <si>
    <t>Total Amount Spent
(=Col. K + M + O)</t>
  </si>
  <si>
    <t>Health system, acute hospital, and affiliated physician organization data is derived from the CHIA Standardized Financial Filings submitted by providers. Financial information must be interpreted within the context of other factors, including, but not limited to, management plans, payment changes, market behavior and other factors affecting performance.</t>
  </si>
  <si>
    <t>Note: Prior year-to-date data cannot be used to predict current year results.</t>
  </si>
  <si>
    <t>Includes Current YTD, Prior Year Annual, and Prior Year YTD data overview of profitability for acute hospitals, hospital health systems (HHS), and affiliated physician organizations</t>
  </si>
  <si>
    <t>Instructions: Use drop-down menus for Cohort and Region to manipulate hospital data (arrows will show when cursor selects cell A5 and/or C5 under Cohort and Region cells)</t>
  </si>
  <si>
    <t>Other Notes</t>
  </si>
  <si>
    <t>Shriners Hospitals for Children Springfield</t>
  </si>
  <si>
    <t>Umass Memorial Medical Group Inc</t>
  </si>
  <si>
    <t>BMC - South</t>
  </si>
  <si>
    <t>BMC - Brighton</t>
  </si>
  <si>
    <t>BMC Affiliated Physicians</t>
  </si>
  <si>
    <t xml:space="preserve"> FINANCIAL METRICS (Without COVID-19 Relief Funds) Total Excess of Revenue, Gains and Other Support Over Expenses (Without COVID-19 Relief Funds)</t>
  </si>
  <si>
    <t xml:space="preserve"> FINANCIAL METRICS (Without COVID-19 Relief Funds) Operating Margin (Without COVID-19 Relief Funds)</t>
  </si>
  <si>
    <t xml:space="preserve"> FINANCIAL METRICS (Without COVID-19 Relief Funds) Non-Operating Margin (Without COVID-19 Relief Funds)</t>
  </si>
  <si>
    <t xml:space="preserve"> FINANCIAL METRICS (Without COVID-19 Relief Funds) Total Margin (Without COVID-19 Relief Funds)</t>
  </si>
  <si>
    <t>Brown Health Medical Group of Massachusetts</t>
  </si>
  <si>
    <t xml:space="preserve">                                             -  </t>
  </si>
  <si>
    <t>Brown Health Medical Group of MA</t>
  </si>
  <si>
    <t>HFY 2025 (Prior Year)</t>
  </si>
  <si>
    <r>
      <rPr>
        <sz val="8"/>
        <color rgb="FF000000"/>
        <rFont val="Segoe UI"/>
        <family val="2"/>
      </rPr>
      <t xml:space="preserve">10/01/2025-03/31/2026
</t>
    </r>
  </si>
  <si>
    <r>
      <rPr>
        <sz val="8"/>
        <color rgb="FF000000"/>
        <rFont val="Segoe UI"/>
        <family val="2"/>
      </rPr>
      <t xml:space="preserve">01/01/2026-03/31/2026
</t>
    </r>
  </si>
  <si>
    <r>
      <rPr>
        <sz val="8"/>
        <color rgb="FF000000"/>
        <rFont val="Segoe UI"/>
        <family val="2"/>
      </rPr>
      <t xml:space="preserve">07/01/2025-03/31/2026
</t>
    </r>
  </si>
  <si>
    <r>
      <rPr>
        <sz val="8"/>
        <color rgb="FF000000"/>
        <rFont val="Segoe UI"/>
        <family val="2"/>
      </rPr>
      <t xml:space="preserve">10/01/2024-03/31/2025
</t>
    </r>
  </si>
  <si>
    <r>
      <rPr>
        <sz val="8"/>
        <color rgb="FF000000"/>
        <rFont val="Segoe UI"/>
        <family val="2"/>
      </rPr>
      <t xml:space="preserve">01/01/2025-03/31/2025
</t>
    </r>
  </si>
  <si>
    <r>
      <rPr>
        <sz val="8"/>
        <color rgb="FF000000"/>
        <rFont val="Segoe UI"/>
        <family val="2"/>
      </rPr>
      <t xml:space="preserve">07/01/2024-03/31/2025
</t>
    </r>
  </si>
  <si>
    <r>
      <rPr>
        <sz val="8"/>
        <color rgb="FF000000"/>
        <rFont val="Segoe UI"/>
        <family val="2"/>
      </rPr>
      <t xml:space="preserve">10/01/2024-03/31/2025
</t>
    </r>
  </si>
  <si>
    <r>
      <rPr>
        <sz val="8"/>
        <color rgb="FF000000"/>
        <rFont val="Segoe UI"/>
        <family val="2"/>
      </rPr>
      <t xml:space="preserve">01/01/2025-03/31/2025
</t>
    </r>
  </si>
  <si>
    <r>
      <rPr>
        <sz val="8"/>
        <color rgb="FF000000"/>
        <rFont val="Segoe UI"/>
        <family val="2"/>
      </rPr>
      <t xml:space="preserve">07/01/2024-03/31/2025
</t>
    </r>
  </si>
  <si>
    <t>CURRENT YEAR-TO-DATE (HFY 2026 THROUGH MAR 31, 2026)</t>
  </si>
  <si>
    <t>ANNUAL PRIOR YEAR (HFY 2025)</t>
  </si>
  <si>
    <t>PRIOR YEAR-TO-DATE (HFY 2025 THRU MAR 31, 2025)</t>
  </si>
  <si>
    <r>
      <rPr>
        <sz val="8"/>
        <color rgb="FF000000"/>
        <rFont val="Segoe UI"/>
        <family val="2"/>
      </rPr>
      <t xml:space="preserve">10/01/2024-09/30/2025
</t>
    </r>
  </si>
  <si>
    <r>
      <rPr>
        <sz val="8"/>
        <color rgb="FF000000"/>
        <rFont val="Segoe UI"/>
        <family val="2"/>
      </rPr>
      <t xml:space="preserve">07/01/2024-06/30/2025
</t>
    </r>
  </si>
  <si>
    <t>2025 HHS Publication</t>
  </si>
  <si>
    <t>2025 HHS in this wkbk</t>
  </si>
  <si>
    <t>dana farber</t>
  </si>
  <si>
    <t>Entities not reported:</t>
  </si>
  <si>
    <t>Massachusetts Cumulative Year-to-Date Report for Period Ending 
March 31, 2026</t>
  </si>
  <si>
    <t>Data Appendix for Period Ending March 31, 2026</t>
  </si>
  <si>
    <t xml:space="preserve">10/01/2025-12/31/2025
</t>
  </si>
  <si>
    <t>HFY 2026 Year-to-Date</t>
  </si>
  <si>
    <t>This includes 6 months of data for most of the entities reporting.</t>
  </si>
  <si>
    <t>Hide</t>
  </si>
  <si>
    <t>Protect</t>
  </si>
  <si>
    <t>Paste Values</t>
  </si>
  <si>
    <t>Prior YTD TS Data Pull</t>
  </si>
  <si>
    <t>A2:ZZ1000</t>
  </si>
  <si>
    <t>Prior YTD Data Pull</t>
  </si>
  <si>
    <t>Prior YTD Data Table</t>
  </si>
  <si>
    <t>Prior Year TS Data Pull</t>
  </si>
  <si>
    <t>Contents</t>
  </si>
  <si>
    <t>Prior Year Data Pull</t>
  </si>
  <si>
    <t>Cover</t>
  </si>
  <si>
    <t>Prior Year Data Table</t>
  </si>
  <si>
    <t>Checks</t>
  </si>
  <si>
    <t>Static Data Tab</t>
  </si>
  <si>
    <t>Current YTD TS Backup</t>
  </si>
  <si>
    <t xml:space="preserve">Marlborough Hospital became part of the UMass Memorial Medical Center campus on December 31, 2025; therefore, their data reflects only 3 months of operating activity. </t>
  </si>
  <si>
    <t>Median statewide acute total margin rose to 2.5%, while median operating margin declined to 1.1% compared with the prior YTD period. Total margin increased by 0.4 percentage points (from 2.1%), while operating margin decreased by 0.4 percentage points (from 1.5%).</t>
  </si>
  <si>
    <t>Of the 58 reporting hospitals, 38 (66%) had positive total margins and 34 (59%) had positive operating margins. The share reporting positive total margins was unchanged from the prior year, while the share reporting positive operating margins increased slightly from 32 hospitals (55%).</t>
  </si>
  <si>
    <t>Among health systems, 65% reported positive total margins, and 7 systems (30%) reported positive operating margins. These shares were unchanged from the prior year. The median total margin for health systems was 2.0%, while the median operating margin was -2.1%.</t>
  </si>
  <si>
    <t xml:space="preserve">Compared with the prior year, aggregate acute hospital operating revenues increased by 7.7%, while expenses rose by 6.8%. In total, operating revenues exceeded expenses by $454.9 million.
 </t>
  </si>
  <si>
    <t>June 2026 (Released: June 30, 2026)</t>
  </si>
  <si>
    <t/>
  </si>
  <si>
    <t xml:space="preserve">10/01/2025-03/31/2026
</t>
  </si>
  <si>
    <t xml:space="preserve">01/01/2026-03/31/2026
</t>
  </si>
  <si>
    <t xml:space="preserve">07/01/2025-03/31/2026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</si>
</sst>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6" formatCode="&quot;$&quot;#,##0_);[Red]\(&quot;$&quot;#,##0\)"/>
    <numFmt numFmtId="164" formatCode="[$-10409]&quot;$&quot;#,##0;\(&quot;$&quot;#,##0\);&quot;&quot;"/>
    <numFmt numFmtId="165" formatCode="[$-10409]&quot;$&quot;#,##0;\(&quot;$&quot;#,##0\);&quot;-&quot;"/>
    <numFmt numFmtId="166" formatCode="[$-10409]#,##0.0%;\-#,##0.0%;&quot;&quot;"/>
    <numFmt numFmtId="167" formatCode="[$-10409]#,##0.0;\(#,##0.0\);&quot;-&quot;"/>
    <numFmt numFmtId="168" formatCode="[$-10409]#,##0;\(#,##0\);&quot;&quot;"/>
    <numFmt numFmtId="169" formatCode="[$-10409]#,##0.0;\(#,##0.0\)"/>
    <numFmt numFmtId="170" formatCode="[$-10409]#,##0;\(#,##0\)"/>
    <numFmt numFmtId="171" formatCode="_(&quot;$&quot;* #,##0_);_(&quot;$&quot;* \(#,##0\);_(&quot;$&quot;* &quot;-&quot;??_);_(@_)"/>
    <numFmt numFmtId="172" formatCode="0.0%"/>
    <numFmt numFmtId="173" formatCode="&quot;$&quot;#,##0"/>
    <numFmt numFmtId="174" formatCode="0.0"/>
    <numFmt numFmtId="175" formatCode="[$-10409]#,##0.000%;\-#,##0.000%;&quot;&quot;"/>
  </numFmts>
  <fonts count="90" x14ac:knownFonts="1">
    <font>
      <sz val="11"/>
      <color theme="1"/>
      <name val="Aptos Narrow"/>
      <family val="2"/>
      <scheme val="minor"/>
    </font>
    <font>
      <sz val="12"/>
      <color theme="1"/>
      <name val="Aptos Narrow"/>
      <family val="2"/>
      <scheme val="minor"/>
    </font>
    <font>
      <u/>
      <sz val="11"/>
      <color theme="10"/>
      <name val="Aptos Narrow"/>
      <family val="2"/>
      <scheme val="minor"/>
    </font>
    <font>
      <b/>
      <sz val="18"/>
      <color theme="3"/>
      <name val="Arial Narrow"/>
      <family val="2"/>
    </font>
    <font>
      <b/>
      <sz val="18"/>
      <color theme="1"/>
      <name val="Arial Narrow"/>
      <family val="2"/>
    </font>
    <font>
      <sz val="11"/>
      <color theme="1"/>
      <name val="Arial Narrow"/>
      <family val="2"/>
    </font>
    <font>
      <sz val="18"/>
      <color theme="1"/>
      <name val="Arial Narrow"/>
      <family val="2"/>
    </font>
    <font>
      <sz val="12"/>
      <color theme="1"/>
      <name val="Arial Narrow"/>
      <family val="2"/>
    </font>
    <font>
      <sz val="11"/>
      <color indexed="8"/>
      <name val="Arial Narrow"/>
      <family val="2"/>
    </font>
    <font>
      <b/>
      <u/>
      <sz val="11"/>
      <color theme="4"/>
      <name val="Arial Narrow"/>
      <family val="2"/>
    </font>
    <font>
      <b/>
      <sz val="11"/>
      <color theme="4"/>
      <name val="Arial Narrow"/>
      <family val="2"/>
    </font>
    <font>
      <sz val="10"/>
      <color theme="1"/>
      <name val="Arial Narrow"/>
      <family val="2"/>
    </font>
    <font>
      <b/>
      <sz val="8"/>
      <color rgb="FF000000"/>
      <name val="Segoe UI"/>
      <family val="2"/>
    </font>
    <font>
      <sz val="11"/>
      <name val="Calibri"/>
      <family val="2"/>
    </font>
    <font>
      <sz val="8"/>
      <color rgb="FF000000"/>
      <name val="Segoe UI"/>
      <family val="2"/>
    </font>
    <font>
      <b/>
      <sz val="11"/>
      <name val="Calibri"/>
      <family val="2"/>
    </font>
    <font>
      <b/>
      <sz val="14"/>
      <color rgb="FFF7921E"/>
      <name val="Arial Narrow"/>
      <family val="2"/>
    </font>
    <font>
      <sz val="11"/>
      <color rgb="FF313131"/>
      <name val="Arial Narrow"/>
      <family val="2"/>
    </font>
    <font>
      <b/>
      <sz val="12"/>
      <color rgb="FF005480"/>
      <name val="Arial Narrow"/>
      <family val="2"/>
    </font>
    <font>
      <b/>
      <sz val="9"/>
      <name val="Arial"/>
      <family val="2"/>
    </font>
    <font>
      <sz val="9"/>
      <color rgb="FF92D050"/>
      <name val="Arial"/>
      <family val="2"/>
    </font>
    <font>
      <sz val="9"/>
      <color rgb="FFFF0000"/>
      <name val="Arial"/>
      <family val="2"/>
    </font>
    <font>
      <b/>
      <sz val="10"/>
      <color rgb="FF000000"/>
      <name val="Arial"/>
      <family val="2"/>
    </font>
    <font>
      <sz val="10"/>
      <color rgb="FFD3D3D3"/>
      <name val="Arial"/>
      <family val="2"/>
    </font>
    <font>
      <sz val="10"/>
      <color rgb="FF92D050"/>
      <name val="Arial"/>
      <family val="2"/>
    </font>
    <font>
      <b/>
      <i/>
      <sz val="10"/>
      <color rgb="FF000000"/>
      <name val="Arial"/>
      <family val="2"/>
    </font>
    <font>
      <sz val="9"/>
      <name val="Arial"/>
      <family val="2"/>
    </font>
    <font>
      <sz val="10"/>
      <color rgb="FF000000"/>
      <name val="Arial"/>
      <family val="2"/>
    </font>
    <font>
      <sz val="10"/>
      <color theme="1"/>
      <name val="Arial"/>
      <family val="2"/>
    </font>
    <font>
      <sz val="10"/>
      <color rgb="FFFF0000"/>
      <name val="Arial"/>
      <family val="2"/>
    </font>
    <font>
      <sz val="11"/>
      <color theme="1"/>
      <name val="Aptos Narrow"/>
      <family val="2"/>
      <scheme val="minor"/>
    </font>
    <font>
      <sz val="11"/>
      <name val="Calibri"/>
      <family val="2"/>
    </font>
    <font>
      <b/>
      <u/>
      <sz val="11"/>
      <color theme="10"/>
      <name val="Aptos Narrow"/>
      <family val="2"/>
      <scheme val="minor"/>
    </font>
    <font>
      <b/>
      <sz val="16"/>
      <color rgb="FFF7921E"/>
      <name val="Arial Narrow"/>
      <family val="2"/>
    </font>
    <font>
      <b/>
      <u/>
      <sz val="11"/>
      <color theme="10"/>
      <name val="Arial Narrow"/>
      <family val="2"/>
    </font>
    <font>
      <b/>
      <u/>
      <sz val="12"/>
      <color theme="9" tint="-0.249977111117893"/>
      <name val="Arial Narrow"/>
      <family val="2"/>
    </font>
    <font>
      <b/>
      <u/>
      <sz val="11"/>
      <color theme="1"/>
      <name val="Aptos Narrow"/>
      <family val="2"/>
      <scheme val="minor"/>
    </font>
    <font>
      <b/>
      <u/>
      <sz val="12"/>
      <color rgb="FF00B5E2"/>
      <name val="Arial Narrow"/>
      <family val="2"/>
    </font>
    <font>
      <b/>
      <u/>
      <sz val="12"/>
      <color rgb="FFF7921E"/>
      <name val="Arial Narrow"/>
      <family val="2"/>
    </font>
    <font>
      <b/>
      <u/>
      <sz val="12"/>
      <color rgb="FFA0A0A4"/>
      <name val="Arial Narrow"/>
      <family val="2"/>
    </font>
    <font>
      <b/>
      <u/>
      <sz val="12"/>
      <color rgb="FF005480"/>
      <name val="Arial Narrow"/>
      <family val="2"/>
    </font>
    <font>
      <b/>
      <sz val="9"/>
      <color theme="0"/>
      <name val="Arial Bold"/>
    </font>
    <font>
      <b/>
      <sz val="9"/>
      <color rgb="FF000000"/>
      <name val="Arial Bold"/>
    </font>
    <font>
      <b/>
      <sz val="9"/>
      <name val="Arial Bold"/>
    </font>
    <font>
      <b/>
      <sz val="9"/>
      <color theme="1"/>
      <name val="Arial Bold"/>
    </font>
    <font>
      <sz val="9"/>
      <color theme="1"/>
      <name val="Arial Bold"/>
    </font>
    <font>
      <sz val="9"/>
      <color rgb="FFFF0000"/>
      <name val="Arial Bold"/>
    </font>
    <font>
      <sz val="11"/>
      <name val="Calibri"/>
      <family val="2"/>
    </font>
    <font>
      <sz val="11"/>
      <name val="Calibri"/>
      <family val="2"/>
    </font>
    <font>
      <b/>
      <sz val="11"/>
      <color theme="1"/>
      <name val="Aptos Narrow"/>
      <family val="2"/>
      <scheme val="minor"/>
    </font>
    <font>
      <sz val="9"/>
      <color theme="1"/>
      <name val="Arial"/>
      <family val="2"/>
    </font>
    <font>
      <sz val="11"/>
      <name val="Calibri"/>
      <family val="2"/>
    </font>
    <font>
      <sz val="10"/>
      <color rgb="FF000000"/>
      <name val="Segoe UI"/>
      <family val="2"/>
    </font>
    <font>
      <sz val="9"/>
      <color rgb="FF000000"/>
      <name val="Arial Bold"/>
    </font>
    <font>
      <sz val="14"/>
      <color theme="0" tint="-0.34998626667073579"/>
      <name val="Arial Narrow"/>
      <family val="2"/>
    </font>
    <font>
      <sz val="18"/>
      <color theme="0" tint="-0.34998626667073579"/>
      <name val="Arial Narrow"/>
      <family val="2"/>
    </font>
    <font>
      <sz val="26"/>
      <color rgb="FF005480"/>
      <name val="Arial Narrow"/>
      <family val="2"/>
    </font>
    <font>
      <sz val="16"/>
      <color rgb="FF005480"/>
      <name val="Arial Narrow"/>
      <family val="2"/>
    </font>
    <font>
      <sz val="20"/>
      <color rgb="FFF7921E"/>
      <name val="Arial Narrow Bold"/>
    </font>
    <font>
      <sz val="16"/>
      <color theme="1"/>
      <name val="Arial Narrow"/>
      <family val="2"/>
    </font>
    <font>
      <sz val="16"/>
      <color theme="1"/>
      <name val="Aptos Narrow"/>
      <family val="2"/>
      <scheme val="minor"/>
    </font>
    <font>
      <b/>
      <u/>
      <sz val="16"/>
      <color rgb="FF00B5E2"/>
      <name val="Arial Narrow"/>
      <family val="2"/>
    </font>
    <font>
      <sz val="22"/>
      <color rgb="FF005480"/>
      <name val="Arial Narrow"/>
      <family val="2"/>
    </font>
    <font>
      <sz val="16"/>
      <color rgb="FF313131"/>
      <name val="Arial Narrow"/>
      <family val="2"/>
    </font>
    <font>
      <b/>
      <sz val="12"/>
      <color theme="1"/>
      <name val="Aptos Narrow"/>
      <family val="2"/>
      <scheme val="minor"/>
    </font>
    <font>
      <sz val="16"/>
      <name val="Arial Narrow Bold"/>
    </font>
    <font>
      <b/>
      <sz val="11"/>
      <color theme="1"/>
      <name val="Arial Bold"/>
    </font>
    <font>
      <sz val="9"/>
      <color theme="0"/>
      <name val="Arial Bold"/>
    </font>
    <font>
      <b/>
      <sz val="9"/>
      <color rgb="FF000000"/>
      <name val="Arial"/>
      <family val="2"/>
    </font>
    <font>
      <sz val="26"/>
      <color rgb="FF08416D"/>
      <name val="Arial Narrow"/>
      <family val="2"/>
    </font>
    <font>
      <sz val="12"/>
      <color rgb="FF313131"/>
      <name val="Arial Narrow"/>
      <family val="2"/>
    </font>
    <font>
      <b/>
      <sz val="12"/>
      <color rgb="FF313131"/>
      <name val="Arial Narrow"/>
      <family val="2"/>
    </font>
    <font>
      <u/>
      <sz val="12"/>
      <color rgb="FF313131"/>
      <name val="Arial Narrow"/>
      <family val="2"/>
    </font>
    <font>
      <u/>
      <sz val="12"/>
      <color theme="10"/>
      <name val="Arial Narrow"/>
      <family val="2"/>
    </font>
    <font>
      <b/>
      <sz val="12"/>
      <color theme="1"/>
      <name val="Arial Narrow"/>
      <family val="2"/>
    </font>
    <font>
      <u/>
      <sz val="12"/>
      <color theme="1"/>
      <name val="Arial Narrow"/>
      <family val="2"/>
    </font>
    <font>
      <b/>
      <sz val="16"/>
      <color rgb="FF00B5E2"/>
      <name val="Arial Narrow"/>
      <family val="2"/>
    </font>
    <font>
      <u/>
      <sz val="20"/>
      <color rgb="FFF7921E"/>
      <name val="Arial Narrow"/>
      <family val="2"/>
    </font>
    <font>
      <sz val="20"/>
      <color rgb="FFF7921E"/>
      <name val="Arial Narrow"/>
      <family val="2"/>
    </font>
    <font>
      <b/>
      <sz val="16"/>
      <color rgb="FFA0A0A4"/>
      <name val="Arial Narrow"/>
      <family val="2"/>
    </font>
    <font>
      <b/>
      <sz val="16"/>
      <color rgb="FF005480"/>
      <name val="Arial Narrow"/>
      <family val="2"/>
    </font>
    <font>
      <u/>
      <sz val="9"/>
      <color theme="0"/>
      <name val="Arial Bold"/>
    </font>
    <font>
      <b/>
      <u/>
      <sz val="16"/>
      <color rgb="FF00B5E2"/>
      <name val="Arial Narrow"/>
      <family val="2"/>
    </font>
    <font>
      <sz val="8"/>
      <color rgb="FF000000"/>
      <name val="Segoe UI"/>
      <family val="2"/>
    </font>
    <font>
      <sz val="11"/>
      <name val="Calibri"/>
      <family val="2"/>
    </font>
    <font>
      <sz val="8"/>
      <color rgb="FF000000"/>
      <name val="Segoe UI"/>
      <family val="2"/>
    </font>
    <font>
      <sz val="11"/>
      <name val="Calibri"/>
      <family val="2"/>
    </font>
    <font>
      <b/>
      <sz val="9"/>
      <color theme="0"/>
      <name val="Arial"/>
      <family val="2"/>
    </font>
    <font>
      <b/>
      <sz val="9"/>
      <color theme="1"/>
      <name val="Arial"/>
      <family val="2"/>
    </font>
    <font>
      <sz val="11"/>
      <color rgb="FF000000"/>
      <name val="Aptos Narrow"/>
      <family val="2"/>
      <scheme val="minor"/>
    </font>
  </fonts>
  <fills count="32">
    <fill>
      <patternFill patternType="none"/>
    </fill>
    <fill>
      <patternFill patternType="gray125"/>
    </fill>
    <fill>
      <patternFill patternType="solid">
        <fgColor rgb="FFB0C4DE"/>
        <bgColor rgb="FFB0C4DE"/>
      </patternFill>
    </fill>
    <fill>
      <patternFill patternType="solid">
        <fgColor rgb="FFF9F9F9"/>
        <bgColor rgb="FFF9F9F9"/>
      </patternFill>
    </fill>
    <fill>
      <patternFill patternType="solid">
        <fgColor rgb="FFFDE9D9"/>
        <bgColor rgb="FFFDE9D9"/>
      </patternFill>
    </fill>
    <fill>
      <patternFill patternType="solid">
        <fgColor rgb="FFFFFFFF"/>
        <bgColor rgb="FFFFFFFF"/>
      </patternFill>
    </fill>
    <fill>
      <patternFill patternType="solid">
        <fgColor rgb="FF4F81BD"/>
        <bgColor rgb="FF4F81BD"/>
      </patternFill>
    </fill>
    <fill>
      <patternFill patternType="solid">
        <fgColor rgb="FFFFFF00"/>
        <bgColor rgb="FF000000"/>
      </patternFill>
    </fill>
    <fill>
      <patternFill patternType="solid">
        <fgColor rgb="FFB8CCE4"/>
        <bgColor rgb="FFB8CCE4"/>
      </patternFill>
    </fill>
    <fill>
      <patternFill patternType="solid">
        <fgColor rgb="FFDCE6F1"/>
        <bgColor rgb="FFDCE6F1"/>
      </patternFill>
    </fill>
    <fill>
      <patternFill patternType="solid">
        <fgColor theme="3" tint="0.89999084444715716"/>
        <bgColor indexed="64"/>
      </patternFill>
    </fill>
    <fill>
      <patternFill patternType="solid">
        <fgColor theme="5" tint="0.79998168889431442"/>
        <bgColor indexed="64"/>
      </patternFill>
    </fill>
    <fill>
      <patternFill patternType="solid">
        <fgColor rgb="FF00B5E2"/>
        <bgColor rgb="FFB0C4DE"/>
      </patternFill>
    </fill>
    <fill>
      <patternFill patternType="solid">
        <fgColor rgb="FFF7921E"/>
        <bgColor rgb="FFB0C4DE"/>
      </patternFill>
    </fill>
    <fill>
      <patternFill patternType="solid">
        <fgColor rgb="FFA0A0A4"/>
        <bgColor rgb="FFB0C4DE"/>
      </patternFill>
    </fill>
    <fill>
      <patternFill patternType="solid">
        <fgColor rgb="FF005480"/>
        <bgColor rgb="FFB0C4DE"/>
      </patternFill>
    </fill>
    <fill>
      <patternFill patternType="solid">
        <fgColor theme="0" tint="-4.9989318521683403E-2"/>
        <bgColor rgb="FFF9F9F9"/>
      </patternFill>
    </fill>
    <fill>
      <patternFill patternType="solid">
        <fgColor theme="0" tint="-4.9989318521683403E-2"/>
        <bgColor indexed="64"/>
      </patternFill>
    </fill>
    <fill>
      <patternFill patternType="solid">
        <fgColor theme="0"/>
        <bgColor indexed="64"/>
      </patternFill>
    </fill>
    <fill>
      <patternFill patternType="solid">
        <fgColor theme="0"/>
        <bgColor rgb="FFF9F9F9"/>
      </patternFill>
    </fill>
    <fill>
      <patternFill patternType="solid">
        <fgColor theme="7"/>
        <bgColor rgb="FFB8CCE4"/>
      </patternFill>
    </fill>
    <fill>
      <patternFill patternType="solid">
        <fgColor theme="7"/>
        <bgColor rgb="FFDCE6F1"/>
      </patternFill>
    </fill>
    <fill>
      <patternFill patternType="solid">
        <fgColor theme="3" tint="0.749992370372631"/>
        <bgColor indexed="64"/>
      </patternFill>
    </fill>
    <fill>
      <patternFill patternType="solid">
        <fgColor theme="5" tint="0.59999389629810485"/>
        <bgColor indexed="64"/>
      </patternFill>
    </fill>
    <fill>
      <patternFill patternType="solid">
        <fgColor rgb="FF00B5E2"/>
        <bgColor indexed="64"/>
      </patternFill>
    </fill>
    <fill>
      <patternFill patternType="solid">
        <fgColor theme="7" tint="0.79998168889431442"/>
        <bgColor indexed="64"/>
      </patternFill>
    </fill>
    <fill>
      <patternFill patternType="solid">
        <fgColor rgb="FF005480"/>
        <bgColor indexed="64"/>
      </patternFill>
    </fill>
    <fill>
      <patternFill patternType="solid">
        <fgColor rgb="FFF7921E"/>
        <bgColor indexed="64"/>
      </patternFill>
    </fill>
    <fill>
      <patternFill patternType="solid">
        <fgColor rgb="FFA0A0A4"/>
        <bgColor indexed="64"/>
      </patternFill>
    </fill>
    <fill>
      <patternFill patternType="solid">
        <fgColor theme="2"/>
        <bgColor indexed="64"/>
      </patternFill>
    </fill>
    <fill>
      <patternFill patternType="solid">
        <fgColor rgb="FFFFFF00"/>
        <bgColor rgb="FFFFFFFF"/>
      </patternFill>
    </fill>
    <fill>
      <patternFill patternType="solid">
        <fgColor rgb="FFFFFF00"/>
        <bgColor rgb="FFB0C4DE"/>
      </patternFill>
    </fill>
  </fills>
  <borders count="12">
    <border>
      <left/>
      <right/>
      <top/>
      <bottom/>
      <diagonal/>
    </border>
    <border>
      <left style="thin">
        <color rgb="FFD3D3D3"/>
      </left>
      <right style="thin">
        <color rgb="FFD3D3D3"/>
      </right>
      <top style="thin">
        <color rgb="FFD3D3D3"/>
      </top>
      <bottom style="thin">
        <color rgb="FFD3D3D3"/>
      </bottom>
      <diagonal/>
    </border>
    <border>
      <left/>
      <right style="thin">
        <color rgb="FFFFFFFF"/>
      </right>
      <top/>
      <bottom style="thick">
        <color rgb="FFFFFFFF"/>
      </bottom>
      <diagonal/>
    </border>
    <border>
      <left style="thin">
        <color rgb="FFFFFFFF"/>
      </left>
      <right style="thin">
        <color rgb="FFFFFFFF"/>
      </right>
      <top/>
      <bottom style="thick">
        <color rgb="FFFFFFFF"/>
      </bottom>
      <diagonal/>
    </border>
    <border>
      <left style="thin">
        <color rgb="FFFFFFFF"/>
      </left>
      <right/>
      <top/>
      <bottom style="thick">
        <color rgb="FFFFFFFF"/>
      </bottom>
      <diagonal/>
    </border>
    <border>
      <left/>
      <right style="thin">
        <color rgb="FFFFFFFF"/>
      </right>
      <top style="thin">
        <color rgb="FFFFFFFF"/>
      </top>
      <bottom style="thin">
        <color rgb="FFFFFFFF"/>
      </bottom>
      <diagonal/>
    </border>
    <border>
      <left style="thin">
        <color rgb="FFFFFFFF"/>
      </left>
      <right style="thin">
        <color rgb="FFFFFFFF"/>
      </right>
      <top style="thin">
        <color rgb="FFFFFFFF"/>
      </top>
      <bottom style="thin">
        <color rgb="FFFFFFFF"/>
      </bottom>
      <diagonal/>
    </border>
    <border>
      <left style="thin">
        <color rgb="FFFFFFFF"/>
      </left>
      <right/>
      <top style="thin">
        <color rgb="FFFFFFFF"/>
      </top>
      <bottom style="thin">
        <color rgb="FFFFFFFF"/>
      </bottom>
      <diagonal/>
    </border>
    <border>
      <left style="thin">
        <color rgb="FFD3D3D3"/>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thin">
        <color rgb="FFD3D3D3"/>
      </right>
      <top style="thin">
        <color rgb="FFD3D3D3"/>
      </top>
      <bottom style="thin">
        <color rgb="FFD3D3D3"/>
      </bottom>
      <diagonal/>
    </border>
  </borders>
  <cellStyleXfs count="3">
    <xf numFmtId="0" fontId="0" fillId="0" borderId="0"/>
    <xf numFmtId="0" fontId="2" fillId="0" borderId="0" applyNumberFormat="0" applyFill="0" applyBorder="0" applyAlignment="0" applyProtection="0"/>
    <xf numFmtId="9" fontId="30" fillId="0" borderId="0" applyFont="0" applyFill="0" applyBorder="0" applyAlignment="0" applyProtection="0"/>
  </cellStyleXfs>
  <cellXfs count="279">
    <xf numFmtId="0" fontId="0" fillId="0" borderId="0" xfId="0"/>
    <xf numFmtId="0" fontId="4" fillId="0" borderId="0" xfId="0" applyFont="1"/>
    <xf numFmtId="0" fontId="5" fillId="0" borderId="0" xfId="0" applyFont="1"/>
    <xf numFmtId="0" fontId="6" fillId="0" borderId="0" xfId="0" applyFont="1"/>
    <xf numFmtId="0" fontId="7" fillId="0" borderId="0" xfId="0" applyFont="1"/>
    <xf numFmtId="0" fontId="5" fillId="0" borderId="0" xfId="0" quotePrefix="1" applyFont="1" applyAlignment="1">
      <alignment horizontal="left" vertical="center" indent="5"/>
    </xf>
    <xf numFmtId="0" fontId="9" fillId="0" borderId="0" xfId="1" applyFont="1"/>
    <xf numFmtId="0" fontId="10" fillId="0" borderId="0" xfId="0" applyFont="1"/>
    <xf numFmtId="0" fontId="11" fillId="0" borderId="0" xfId="0" applyFont="1"/>
    <xf numFmtId="0" fontId="5" fillId="0" borderId="0" xfId="0" applyFont="1" applyAlignment="1">
      <alignment horizontal="left" vertical="center" indent="12"/>
    </xf>
    <xf numFmtId="0" fontId="9" fillId="0" borderId="0" xfId="1" applyFont="1" applyAlignment="1">
      <alignment horizontal="left"/>
    </xf>
    <xf numFmtId="0" fontId="12" fillId="2" borderId="1" xfId="0" applyFont="1" applyFill="1" applyBorder="1" applyAlignment="1">
      <alignment horizontal="center" vertical="top" wrapText="1" readingOrder="1"/>
    </xf>
    <xf numFmtId="0" fontId="12" fillId="2" borderId="1" xfId="0" applyFont="1" applyFill="1" applyBorder="1" applyAlignment="1">
      <alignment vertical="top" wrapText="1" readingOrder="1"/>
    </xf>
    <xf numFmtId="0" fontId="13" fillId="0" borderId="0" xfId="0" applyFont="1"/>
    <xf numFmtId="0" fontId="14" fillId="3" borderId="1" xfId="0" applyFont="1" applyFill="1" applyBorder="1" applyAlignment="1">
      <alignment horizontal="center" vertical="top" wrapText="1" readingOrder="1"/>
    </xf>
    <xf numFmtId="0" fontId="15" fillId="0" borderId="0" xfId="0" applyFont="1"/>
    <xf numFmtId="0" fontId="19" fillId="6" borderId="2" xfId="0" applyFont="1" applyFill="1" applyBorder="1"/>
    <xf numFmtId="0" fontId="19" fillId="6" borderId="3" xfId="0" applyFont="1" applyFill="1" applyBorder="1"/>
    <xf numFmtId="0" fontId="22" fillId="6" borderId="3" xfId="0" applyFont="1" applyFill="1" applyBorder="1"/>
    <xf numFmtId="0" fontId="22" fillId="7" borderId="3" xfId="0" applyFont="1" applyFill="1" applyBorder="1"/>
    <xf numFmtId="0" fontId="25" fillId="7" borderId="3" xfId="0" applyFont="1" applyFill="1" applyBorder="1"/>
    <xf numFmtId="0" fontId="22" fillId="6" borderId="4" xfId="0" applyFont="1" applyFill="1" applyBorder="1"/>
    <xf numFmtId="0" fontId="26" fillId="8" borderId="5" xfId="0" applyFont="1" applyFill="1" applyBorder="1"/>
    <xf numFmtId="0" fontId="26" fillId="8" borderId="6" xfId="0" applyFont="1" applyFill="1" applyBorder="1"/>
    <xf numFmtId="0" fontId="27" fillId="8" borderId="6" xfId="0" applyFont="1" applyFill="1" applyBorder="1"/>
    <xf numFmtId="14" fontId="27" fillId="8" borderId="6" xfId="0" applyNumberFormat="1" applyFont="1" applyFill="1" applyBorder="1"/>
    <xf numFmtId="0" fontId="27" fillId="8" borderId="7" xfId="0" applyFont="1" applyFill="1" applyBorder="1"/>
    <xf numFmtId="0" fontId="26" fillId="9" borderId="5" xfId="0" applyFont="1" applyFill="1" applyBorder="1"/>
    <xf numFmtId="0" fontId="26" fillId="9" borderId="6" xfId="0" applyFont="1" applyFill="1" applyBorder="1"/>
    <xf numFmtId="0" fontId="27" fillId="9" borderId="6" xfId="0" applyFont="1" applyFill="1" applyBorder="1"/>
    <xf numFmtId="14" fontId="27" fillId="9" borderId="6" xfId="0" applyNumberFormat="1" applyFont="1" applyFill="1" applyBorder="1"/>
    <xf numFmtId="0" fontId="27" fillId="9" borderId="7" xfId="0" applyFont="1" applyFill="1" applyBorder="1"/>
    <xf numFmtId="0" fontId="26" fillId="0" borderId="0" xfId="0" applyFont="1"/>
    <xf numFmtId="0" fontId="28" fillId="0" borderId="0" xfId="0" applyFont="1"/>
    <xf numFmtId="0" fontId="27" fillId="0" borderId="0" xfId="0" applyFont="1"/>
    <xf numFmtId="0" fontId="29" fillId="0" borderId="0" xfId="0" applyFont="1"/>
    <xf numFmtId="171" fontId="27" fillId="0" borderId="0" xfId="0" applyNumberFormat="1" applyFont="1"/>
    <xf numFmtId="172" fontId="14" fillId="3" borderId="1" xfId="2" applyNumberFormat="1" applyFont="1" applyFill="1" applyBorder="1" applyAlignment="1">
      <alignment horizontal="center" vertical="top" wrapText="1" readingOrder="1"/>
    </xf>
    <xf numFmtId="173" fontId="14" fillId="3" borderId="1" xfId="0" applyNumberFormat="1" applyFont="1" applyFill="1" applyBorder="1" applyAlignment="1">
      <alignment horizontal="center" vertical="top" wrapText="1" readingOrder="1"/>
    </xf>
    <xf numFmtId="174" fontId="14" fillId="3" borderId="1" xfId="0" applyNumberFormat="1" applyFont="1" applyFill="1" applyBorder="1" applyAlignment="1">
      <alignment horizontal="center" vertical="top" wrapText="1" readingOrder="1"/>
    </xf>
    <xf numFmtId="2" fontId="0" fillId="0" borderId="0" xfId="0" applyNumberFormat="1"/>
    <xf numFmtId="1" fontId="14" fillId="3" borderId="1" xfId="0" applyNumberFormat="1" applyFont="1" applyFill="1" applyBorder="1" applyAlignment="1">
      <alignment horizontal="center" vertical="top" wrapText="1" readingOrder="1"/>
    </xf>
    <xf numFmtId="0" fontId="31" fillId="0" borderId="0" xfId="0" applyFont="1"/>
    <xf numFmtId="0" fontId="32" fillId="0" borderId="0" xfId="1" applyFont="1" applyFill="1" applyAlignment="1"/>
    <xf numFmtId="0" fontId="0" fillId="0" borderId="0" xfId="0" applyAlignment="1">
      <alignment wrapText="1"/>
    </xf>
    <xf numFmtId="172" fontId="14" fillId="0" borderId="1" xfId="2" applyNumberFormat="1" applyFont="1" applyFill="1" applyBorder="1" applyAlignment="1">
      <alignment horizontal="center" vertical="top" wrapText="1" readingOrder="1"/>
    </xf>
    <xf numFmtId="0" fontId="14" fillId="0" borderId="1" xfId="0" applyFont="1" applyBorder="1" applyAlignment="1">
      <alignment horizontal="center" vertical="top" wrapText="1" readingOrder="1"/>
    </xf>
    <xf numFmtId="173" fontId="14" fillId="0" borderId="1" xfId="0" applyNumberFormat="1" applyFont="1" applyBorder="1" applyAlignment="1">
      <alignment horizontal="center" vertical="top" wrapText="1" readingOrder="1"/>
    </xf>
    <xf numFmtId="0" fontId="34" fillId="0" borderId="0" xfId="1" applyFont="1" applyFill="1" applyAlignment="1">
      <alignment horizontal="left"/>
    </xf>
    <xf numFmtId="0" fontId="36" fillId="6" borderId="3" xfId="1" applyFont="1" applyFill="1" applyBorder="1"/>
    <xf numFmtId="0" fontId="44" fillId="0" borderId="0" xfId="0" applyFont="1" applyAlignment="1">
      <alignment horizontal="left" vertical="center"/>
    </xf>
    <xf numFmtId="0" fontId="45" fillId="0" borderId="0" xfId="0" applyFont="1" applyAlignment="1">
      <alignment horizontal="left" vertical="center"/>
    </xf>
    <xf numFmtId="0" fontId="46" fillId="0" borderId="0" xfId="0" applyFont="1" applyAlignment="1">
      <alignment horizontal="left" vertical="center"/>
    </xf>
    <xf numFmtId="172" fontId="45" fillId="0" borderId="0" xfId="0" applyNumberFormat="1" applyFont="1" applyAlignment="1">
      <alignment horizontal="left" vertical="center"/>
    </xf>
    <xf numFmtId="0" fontId="45" fillId="0" borderId="0" xfId="0" applyFont="1" applyAlignment="1">
      <alignment horizontal="right" vertical="center"/>
    </xf>
    <xf numFmtId="0" fontId="41" fillId="15" borderId="1" xfId="0" applyFont="1" applyFill="1" applyBorder="1" applyAlignment="1">
      <alignment horizontal="center" vertical="center" wrapText="1" readingOrder="1"/>
    </xf>
    <xf numFmtId="0" fontId="43" fillId="0" borderId="0" xfId="0" applyFont="1" applyAlignment="1">
      <alignment horizontal="center" vertical="center"/>
    </xf>
    <xf numFmtId="0" fontId="14" fillId="5" borderId="1" xfId="0" applyFont="1" applyFill="1" applyBorder="1" applyAlignment="1">
      <alignment horizontal="center" vertical="top" wrapText="1" readingOrder="1"/>
    </xf>
    <xf numFmtId="0" fontId="42" fillId="16" borderId="1" xfId="0" applyFont="1" applyFill="1" applyBorder="1" applyAlignment="1">
      <alignment horizontal="center" vertical="center" wrapText="1" readingOrder="1"/>
    </xf>
    <xf numFmtId="0" fontId="42" fillId="5" borderId="1" xfId="0" applyFont="1" applyFill="1" applyBorder="1" applyAlignment="1">
      <alignment horizontal="center" vertical="center" wrapText="1" readingOrder="1"/>
    </xf>
    <xf numFmtId="0" fontId="47" fillId="0" borderId="0" xfId="0" applyFont="1"/>
    <xf numFmtId="164" fontId="42" fillId="16" borderId="1" xfId="0" applyNumberFormat="1" applyFont="1" applyFill="1" applyBorder="1" applyAlignment="1">
      <alignment horizontal="center" vertical="center" wrapText="1" readingOrder="1"/>
    </xf>
    <xf numFmtId="0" fontId="43" fillId="17" borderId="0" xfId="0" applyFont="1" applyFill="1" applyAlignment="1">
      <alignment horizontal="center" vertical="center"/>
    </xf>
    <xf numFmtId="0" fontId="42" fillId="3" borderId="1" xfId="0" applyFont="1" applyFill="1" applyBorder="1" applyAlignment="1">
      <alignment horizontal="center" vertical="center" wrapText="1" readingOrder="1"/>
    </xf>
    <xf numFmtId="164" fontId="42" fillId="3" borderId="1" xfId="0" applyNumberFormat="1" applyFont="1" applyFill="1" applyBorder="1" applyAlignment="1">
      <alignment horizontal="center" vertical="center" wrapText="1" readingOrder="1"/>
    </xf>
    <xf numFmtId="164" fontId="42" fillId="5" borderId="1" xfId="0" applyNumberFormat="1" applyFont="1" applyFill="1" applyBorder="1" applyAlignment="1">
      <alignment horizontal="center" vertical="center" wrapText="1" readingOrder="1"/>
    </xf>
    <xf numFmtId="0" fontId="48" fillId="0" borderId="0" xfId="0" applyFont="1"/>
    <xf numFmtId="0" fontId="26" fillId="8" borderId="6" xfId="0" applyFont="1" applyFill="1" applyBorder="1" applyAlignment="1">
      <alignment horizontal="center"/>
    </xf>
    <xf numFmtId="0" fontId="26" fillId="9" borderId="6" xfId="0" applyFont="1" applyFill="1" applyBorder="1" applyAlignment="1">
      <alignment horizontal="center"/>
    </xf>
    <xf numFmtId="0" fontId="26" fillId="20" borderId="5" xfId="0" applyFont="1" applyFill="1" applyBorder="1"/>
    <xf numFmtId="0" fontId="26" fillId="20" borderId="6" xfId="0" applyFont="1" applyFill="1" applyBorder="1"/>
    <xf numFmtId="0" fontId="27" fillId="20" borderId="6" xfId="0" applyFont="1" applyFill="1" applyBorder="1"/>
    <xf numFmtId="0" fontId="26" fillId="21" borderId="6" xfId="0" applyFont="1" applyFill="1" applyBorder="1"/>
    <xf numFmtId="0" fontId="26" fillId="21" borderId="5" xfId="0" applyFont="1" applyFill="1" applyBorder="1"/>
    <xf numFmtId="0" fontId="27" fillId="20" borderId="7" xfId="0" applyFont="1" applyFill="1" applyBorder="1"/>
    <xf numFmtId="0" fontId="27" fillId="21" borderId="6" xfId="0" applyFont="1" applyFill="1" applyBorder="1"/>
    <xf numFmtId="0" fontId="27" fillId="21" borderId="7" xfId="0" applyFont="1" applyFill="1" applyBorder="1"/>
    <xf numFmtId="14" fontId="27" fillId="20" borderId="6" xfId="0" applyNumberFormat="1" applyFont="1" applyFill="1" applyBorder="1"/>
    <xf numFmtId="171" fontId="26" fillId="0" borderId="0" xfId="0" applyNumberFormat="1" applyFont="1"/>
    <xf numFmtId="0" fontId="17" fillId="0" borderId="0" xfId="0" applyFont="1" applyAlignment="1">
      <alignment vertical="center" wrapText="1"/>
    </xf>
    <xf numFmtId="0" fontId="50" fillId="0" borderId="0" xfId="0" applyFont="1" applyAlignment="1">
      <alignment horizontal="left" vertical="center"/>
    </xf>
    <xf numFmtId="0" fontId="50" fillId="0" borderId="0" xfId="0" applyFont="1" applyAlignment="1">
      <alignment horizontal="right" vertical="center"/>
    </xf>
    <xf numFmtId="0" fontId="21" fillId="0" borderId="0" xfId="0" applyFont="1" applyAlignment="1">
      <alignment horizontal="left" vertical="center"/>
    </xf>
    <xf numFmtId="0" fontId="51" fillId="0" borderId="0" xfId="0" applyFont="1"/>
    <xf numFmtId="0" fontId="52" fillId="3" borderId="1" xfId="0" applyFont="1" applyFill="1" applyBorder="1" applyAlignment="1">
      <alignment horizontal="center" vertical="top" wrapText="1" readingOrder="1"/>
    </xf>
    <xf numFmtId="0" fontId="52" fillId="5" borderId="1" xfId="0" applyFont="1" applyFill="1" applyBorder="1" applyAlignment="1">
      <alignment horizontal="center" vertical="top" wrapText="1" readingOrder="1"/>
    </xf>
    <xf numFmtId="0" fontId="45" fillId="0" borderId="0" xfId="0" applyFont="1" applyAlignment="1">
      <alignment horizontal="center" vertical="center"/>
    </xf>
    <xf numFmtId="0" fontId="14" fillId="5" borderId="1" xfId="0" applyFont="1" applyFill="1" applyBorder="1" applyAlignment="1">
      <alignment horizontal="left" vertical="top" wrapText="1" readingOrder="1"/>
    </xf>
    <xf numFmtId="0" fontId="14" fillId="3" borderId="1" xfId="0" applyFont="1" applyFill="1" applyBorder="1" applyAlignment="1">
      <alignment horizontal="left" vertical="top" wrapText="1" readingOrder="1"/>
    </xf>
    <xf numFmtId="0" fontId="3" fillId="0" borderId="0" xfId="0" applyFont="1"/>
    <xf numFmtId="0" fontId="33" fillId="0" borderId="0" xfId="0" applyFont="1" applyAlignment="1">
      <alignment vertical="center" wrapText="1"/>
    </xf>
    <xf numFmtId="0" fontId="16" fillId="0" borderId="0" xfId="0" applyFont="1" applyAlignment="1">
      <alignment vertical="center" wrapText="1"/>
    </xf>
    <xf numFmtId="0" fontId="5" fillId="0" borderId="0" xfId="0" applyFont="1" applyAlignment="1">
      <alignment horizontal="left" vertical="center" wrapText="1"/>
    </xf>
    <xf numFmtId="0" fontId="42" fillId="0" borderId="1" xfId="0" applyFont="1" applyBorder="1" applyAlignment="1">
      <alignment horizontal="center" vertical="center" wrapText="1" readingOrder="1"/>
    </xf>
    <xf numFmtId="164" fontId="42" fillId="0" borderId="1" xfId="0" applyNumberFormat="1" applyFont="1" applyBorder="1" applyAlignment="1">
      <alignment horizontal="center" vertical="center" wrapText="1" readingOrder="1"/>
    </xf>
    <xf numFmtId="165" fontId="42" fillId="0" borderId="1" xfId="0" applyNumberFormat="1" applyFont="1" applyBorder="1" applyAlignment="1">
      <alignment horizontal="center" vertical="center" wrapText="1" readingOrder="1"/>
    </xf>
    <xf numFmtId="164" fontId="14" fillId="3" borderId="1" xfId="0" applyNumberFormat="1" applyFont="1" applyFill="1" applyBorder="1" applyAlignment="1">
      <alignment horizontal="right" vertical="top" wrapText="1" readingOrder="1"/>
    </xf>
    <xf numFmtId="0" fontId="14" fillId="3" borderId="1" xfId="0" applyFont="1" applyFill="1" applyBorder="1" applyAlignment="1">
      <alignment horizontal="right" vertical="top" wrapText="1" readingOrder="1"/>
    </xf>
    <xf numFmtId="0" fontId="14" fillId="3" borderId="1" xfId="0" applyFont="1" applyFill="1" applyBorder="1" applyAlignment="1">
      <alignment vertical="top" wrapText="1" readingOrder="1"/>
    </xf>
    <xf numFmtId="0" fontId="14" fillId="0" borderId="1" xfId="0" applyFont="1" applyBorder="1" applyAlignment="1">
      <alignment horizontal="left" vertical="top" wrapText="1" readingOrder="1"/>
    </xf>
    <xf numFmtId="164" fontId="14" fillId="5" borderId="1" xfId="0" applyNumberFormat="1" applyFont="1" applyFill="1" applyBorder="1" applyAlignment="1">
      <alignment horizontal="right" vertical="top" wrapText="1" readingOrder="1"/>
    </xf>
    <xf numFmtId="0" fontId="14" fillId="5" borderId="1" xfId="0" applyFont="1" applyFill="1" applyBorder="1" applyAlignment="1">
      <alignment horizontal="right" vertical="top" wrapText="1" readingOrder="1"/>
    </xf>
    <xf numFmtId="0" fontId="14" fillId="5" borderId="1" xfId="0" applyFont="1" applyFill="1" applyBorder="1" applyAlignment="1">
      <alignment vertical="top" wrapText="1" readingOrder="1"/>
    </xf>
    <xf numFmtId="164" fontId="14" fillId="3" borderId="1" xfId="0" applyNumberFormat="1" applyFont="1" applyFill="1" applyBorder="1" applyAlignment="1">
      <alignment vertical="top" wrapText="1" readingOrder="1"/>
    </xf>
    <xf numFmtId="165" fontId="14" fillId="4" borderId="1" xfId="0" applyNumberFormat="1" applyFont="1" applyFill="1" applyBorder="1" applyAlignment="1">
      <alignment horizontal="right" vertical="top" wrapText="1" readingOrder="1"/>
    </xf>
    <xf numFmtId="175" fontId="14" fillId="4" borderId="1" xfId="0" applyNumberFormat="1" applyFont="1" applyFill="1" applyBorder="1" applyAlignment="1">
      <alignment horizontal="right" vertical="top" wrapText="1" readingOrder="1"/>
    </xf>
    <xf numFmtId="167" fontId="14" fillId="4" borderId="1" xfId="0" applyNumberFormat="1" applyFont="1" applyFill="1" applyBorder="1" applyAlignment="1">
      <alignment horizontal="right" vertical="top" wrapText="1" readingOrder="1"/>
    </xf>
    <xf numFmtId="168" fontId="14" fillId="4" borderId="1" xfId="0" applyNumberFormat="1" applyFont="1" applyFill="1" applyBorder="1" applyAlignment="1">
      <alignment horizontal="right" vertical="top" wrapText="1" readingOrder="1"/>
    </xf>
    <xf numFmtId="169" fontId="14" fillId="4" borderId="1" xfId="0" applyNumberFormat="1" applyFont="1" applyFill="1" applyBorder="1" applyAlignment="1">
      <alignment horizontal="right" vertical="top" wrapText="1" readingOrder="1"/>
    </xf>
    <xf numFmtId="166" fontId="14" fillId="4" borderId="1" xfId="0" applyNumberFormat="1" applyFont="1" applyFill="1" applyBorder="1" applyAlignment="1">
      <alignment horizontal="right" vertical="top" wrapText="1" readingOrder="1"/>
    </xf>
    <xf numFmtId="170" fontId="14" fillId="4" borderId="1" xfId="0" applyNumberFormat="1" applyFont="1" applyFill="1" applyBorder="1" applyAlignment="1">
      <alignment horizontal="right" vertical="top" wrapText="1" readingOrder="1"/>
    </xf>
    <xf numFmtId="0" fontId="14" fillId="4" borderId="1" xfId="0" applyFont="1" applyFill="1" applyBorder="1" applyAlignment="1">
      <alignment horizontal="right" vertical="top" wrapText="1" readingOrder="1"/>
    </xf>
    <xf numFmtId="164" fontId="14" fillId="5" borderId="1" xfId="0" applyNumberFormat="1" applyFont="1" applyFill="1" applyBorder="1" applyAlignment="1">
      <alignment vertical="top" wrapText="1" readingOrder="1"/>
    </xf>
    <xf numFmtId="0" fontId="55" fillId="0" borderId="0" xfId="0" applyFont="1" applyAlignment="1">
      <alignment horizontal="left"/>
    </xf>
    <xf numFmtId="0" fontId="54" fillId="0" borderId="0" xfId="0" applyFont="1" applyAlignment="1">
      <alignment horizontal="left" vertical="center" wrapText="1"/>
    </xf>
    <xf numFmtId="0" fontId="56" fillId="0" borderId="0" xfId="0" applyFont="1" applyAlignment="1">
      <alignment horizontal="left" vertical="center" wrapText="1"/>
    </xf>
    <xf numFmtId="0" fontId="6" fillId="0" borderId="0" xfId="0" applyFont="1" applyAlignment="1">
      <alignment horizontal="left" vertical="center" wrapText="1"/>
    </xf>
    <xf numFmtId="0" fontId="7" fillId="0" borderId="0" xfId="0" applyFont="1" applyAlignment="1">
      <alignment horizontal="left" vertical="center" wrapText="1"/>
    </xf>
    <xf numFmtId="0" fontId="0" fillId="0" borderId="0" xfId="0" applyAlignment="1">
      <alignment horizontal="left" vertical="center" wrapText="1"/>
    </xf>
    <xf numFmtId="0" fontId="58" fillId="0" borderId="0" xfId="0" applyFont="1" applyAlignment="1">
      <alignment horizontal="left" vertical="center" wrapText="1"/>
    </xf>
    <xf numFmtId="0" fontId="59" fillId="0" borderId="0" xfId="0" applyFont="1" applyAlignment="1">
      <alignment horizontal="left" vertical="center" wrapText="1"/>
    </xf>
    <xf numFmtId="0" fontId="60" fillId="0" borderId="0" xfId="0" applyFont="1" applyAlignment="1">
      <alignment horizontal="left" vertical="center" wrapText="1"/>
    </xf>
    <xf numFmtId="0" fontId="59" fillId="0" borderId="0" xfId="0" quotePrefix="1" applyFont="1" applyAlignment="1">
      <alignment horizontal="left" vertical="center" wrapText="1"/>
    </xf>
    <xf numFmtId="0" fontId="61" fillId="0" borderId="0" xfId="1" applyFont="1" applyFill="1" applyAlignment="1">
      <alignment horizontal="left" vertical="center" wrapText="1"/>
    </xf>
    <xf numFmtId="0" fontId="61" fillId="0" borderId="0" xfId="1" applyFont="1" applyAlignment="1">
      <alignment horizontal="left" vertical="center" wrapText="1"/>
    </xf>
    <xf numFmtId="0" fontId="8" fillId="0" borderId="0" xfId="0" quotePrefix="1" applyFont="1" applyAlignment="1">
      <alignment horizontal="left" vertical="center" indent="5"/>
    </xf>
    <xf numFmtId="0" fontId="62" fillId="0" borderId="0" xfId="0" applyFont="1" applyAlignment="1">
      <alignment vertical="center" wrapText="1"/>
    </xf>
    <xf numFmtId="0" fontId="63" fillId="0" borderId="0" xfId="0" applyFont="1" applyAlignment="1">
      <alignment vertical="top" wrapText="1"/>
    </xf>
    <xf numFmtId="0" fontId="0" fillId="0" borderId="0" xfId="0" applyAlignment="1">
      <alignment vertical="top" wrapText="1"/>
    </xf>
    <xf numFmtId="0" fontId="49" fillId="0" borderId="0" xfId="0" applyFont="1" applyAlignment="1">
      <alignment vertical="top" wrapText="1"/>
    </xf>
    <xf numFmtId="0" fontId="65" fillId="0" borderId="0" xfId="0" applyFont="1" applyAlignment="1">
      <alignment vertical="top" wrapText="1"/>
    </xf>
    <xf numFmtId="0" fontId="41" fillId="26" borderId="0" xfId="0" applyFont="1" applyFill="1" applyAlignment="1">
      <alignment horizontal="left" vertical="center"/>
    </xf>
    <xf numFmtId="0" fontId="67" fillId="26" borderId="0" xfId="0" applyFont="1" applyFill="1" applyAlignment="1">
      <alignment horizontal="right" vertical="center"/>
    </xf>
    <xf numFmtId="0" fontId="50" fillId="22" borderId="0" xfId="0" applyFont="1" applyFill="1" applyAlignment="1">
      <alignment horizontal="left" vertical="center"/>
    </xf>
    <xf numFmtId="0" fontId="50" fillId="22" borderId="0" xfId="0" applyFont="1" applyFill="1" applyAlignment="1">
      <alignment horizontal="right" vertical="center"/>
    </xf>
    <xf numFmtId="172" fontId="50" fillId="10" borderId="0" xfId="2" applyNumberFormat="1" applyFont="1" applyFill="1" applyAlignment="1">
      <alignment horizontal="right" vertical="center"/>
    </xf>
    <xf numFmtId="172" fontId="50" fillId="22" borderId="0" xfId="2" applyNumberFormat="1" applyFont="1" applyFill="1" applyAlignment="1">
      <alignment horizontal="right" vertical="center"/>
    </xf>
    <xf numFmtId="0" fontId="50" fillId="10" borderId="0" xfId="0" applyFont="1" applyFill="1" applyAlignment="1">
      <alignment horizontal="right" vertical="center"/>
    </xf>
    <xf numFmtId="0" fontId="50" fillId="10" borderId="0" xfId="0" applyFont="1" applyFill="1" applyAlignment="1">
      <alignment horizontal="left" vertical="center"/>
    </xf>
    <xf numFmtId="0" fontId="45" fillId="27" borderId="0" xfId="0" applyFont="1" applyFill="1" applyAlignment="1">
      <alignment horizontal="right" vertical="center"/>
    </xf>
    <xf numFmtId="0" fontId="41" fillId="27" borderId="0" xfId="0" applyFont="1" applyFill="1" applyAlignment="1">
      <alignment horizontal="left" vertical="center"/>
    </xf>
    <xf numFmtId="172" fontId="45" fillId="0" borderId="0" xfId="2" applyNumberFormat="1" applyFont="1" applyFill="1" applyAlignment="1">
      <alignment horizontal="right" vertical="center"/>
    </xf>
    <xf numFmtId="0" fontId="50" fillId="23" borderId="0" xfId="0" applyFont="1" applyFill="1" applyAlignment="1">
      <alignment horizontal="left" vertical="center"/>
    </xf>
    <xf numFmtId="0" fontId="50" fillId="23" borderId="0" xfId="0" applyFont="1" applyFill="1" applyAlignment="1">
      <alignment horizontal="right" vertical="center"/>
    </xf>
    <xf numFmtId="0" fontId="50" fillId="11" borderId="0" xfId="0" applyFont="1" applyFill="1" applyAlignment="1">
      <alignment horizontal="left" vertical="center"/>
    </xf>
    <xf numFmtId="172" fontId="50" fillId="11" borderId="0" xfId="2" applyNumberFormat="1" applyFont="1" applyFill="1" applyAlignment="1">
      <alignment horizontal="right" vertical="center"/>
    </xf>
    <xf numFmtId="172" fontId="50" fillId="23" borderId="0" xfId="0" applyNumberFormat="1" applyFont="1" applyFill="1" applyAlignment="1">
      <alignment horizontal="right" vertical="center"/>
    </xf>
    <xf numFmtId="0" fontId="50" fillId="11" borderId="0" xfId="2" applyNumberFormat="1" applyFont="1" applyFill="1" applyAlignment="1">
      <alignment horizontal="right" vertical="center"/>
    </xf>
    <xf numFmtId="172" fontId="50" fillId="23" borderId="0" xfId="2" applyNumberFormat="1" applyFont="1" applyFill="1" applyAlignment="1">
      <alignment horizontal="right" vertical="center"/>
    </xf>
    <xf numFmtId="0" fontId="41" fillId="28" borderId="0" xfId="0" applyFont="1" applyFill="1" applyAlignment="1" applyProtection="1">
      <alignment horizontal="left" vertical="center"/>
      <protection hidden="1"/>
    </xf>
    <xf numFmtId="0" fontId="67" fillId="28" borderId="0" xfId="0" applyFont="1" applyFill="1" applyAlignment="1" applyProtection="1">
      <alignment horizontal="right" vertical="center"/>
      <protection hidden="1"/>
    </xf>
    <xf numFmtId="0" fontId="44" fillId="0" borderId="0" xfId="0" applyFont="1" applyAlignment="1" applyProtection="1">
      <alignment horizontal="left" vertical="center"/>
      <protection hidden="1"/>
    </xf>
    <xf numFmtId="0" fontId="45" fillId="0" borderId="0" xfId="0" applyFont="1" applyAlignment="1" applyProtection="1">
      <alignment horizontal="right" vertical="center"/>
      <protection hidden="1"/>
    </xf>
    <xf numFmtId="0" fontId="45" fillId="0" borderId="0" xfId="0" applyFont="1" applyAlignment="1" applyProtection="1">
      <alignment horizontal="left" vertical="center"/>
      <protection hidden="1"/>
    </xf>
    <xf numFmtId="0" fontId="50" fillId="29" borderId="0" xfId="0" applyFont="1" applyFill="1" applyAlignment="1" applyProtection="1">
      <alignment horizontal="left" vertical="center"/>
      <protection hidden="1"/>
    </xf>
    <xf numFmtId="0" fontId="50" fillId="29" borderId="0" xfId="0" applyFont="1" applyFill="1" applyAlignment="1" applyProtection="1">
      <alignment horizontal="right" vertical="center"/>
      <protection hidden="1"/>
    </xf>
    <xf numFmtId="172" fontId="50" fillId="29" borderId="0" xfId="2" applyNumberFormat="1" applyFont="1" applyFill="1" applyAlignment="1" applyProtection="1">
      <alignment horizontal="right" vertical="center"/>
      <protection hidden="1"/>
    </xf>
    <xf numFmtId="0" fontId="50" fillId="17" borderId="0" xfId="0" applyFont="1" applyFill="1" applyAlignment="1" applyProtection="1">
      <alignment horizontal="left" vertical="center"/>
      <protection hidden="1"/>
    </xf>
    <xf numFmtId="172" fontId="50" fillId="17" borderId="0" xfId="2" applyNumberFormat="1" applyFont="1" applyFill="1" applyAlignment="1" applyProtection="1">
      <alignment horizontal="right" vertical="center"/>
      <protection hidden="1"/>
    </xf>
    <xf numFmtId="0" fontId="50" fillId="17" borderId="0" xfId="0" applyFont="1" applyFill="1" applyAlignment="1" applyProtection="1">
      <alignment horizontal="right" vertical="center"/>
      <protection hidden="1"/>
    </xf>
    <xf numFmtId="0" fontId="50" fillId="17" borderId="0" xfId="0" applyFont="1" applyFill="1" applyAlignment="1" applyProtection="1">
      <alignment horizontal="left" vertical="center" wrapText="1"/>
      <protection hidden="1"/>
    </xf>
    <xf numFmtId="0" fontId="68" fillId="0" borderId="1" xfId="0" applyFont="1" applyBorder="1" applyAlignment="1">
      <alignment horizontal="center" vertical="center" wrapText="1" readingOrder="1"/>
    </xf>
    <xf numFmtId="164" fontId="68" fillId="0" borderId="1" xfId="0" applyNumberFormat="1" applyFont="1" applyBorder="1" applyAlignment="1">
      <alignment horizontal="center" vertical="center" wrapText="1" readingOrder="1"/>
    </xf>
    <xf numFmtId="165" fontId="68" fillId="0" borderId="1" xfId="0" applyNumberFormat="1" applyFont="1" applyBorder="1" applyAlignment="1">
      <alignment horizontal="center" vertical="center" wrapText="1" readingOrder="1"/>
    </xf>
    <xf numFmtId="0" fontId="19" fillId="0" borderId="0" xfId="0" applyFont="1" applyAlignment="1">
      <alignment horizontal="center" vertical="center"/>
    </xf>
    <xf numFmtId="0" fontId="19" fillId="0" borderId="0" xfId="0" applyFont="1" applyAlignment="1">
      <alignment horizontal="left" vertical="center"/>
    </xf>
    <xf numFmtId="0" fontId="69" fillId="0" borderId="0" xfId="0" applyFont="1" applyAlignment="1">
      <alignment vertical="center" wrapText="1"/>
    </xf>
    <xf numFmtId="0" fontId="7" fillId="0" borderId="0" xfId="0" applyFont="1" applyAlignment="1">
      <alignment vertical="top" wrapText="1"/>
    </xf>
    <xf numFmtId="0" fontId="1" fillId="0" borderId="0" xfId="0" applyFont="1" applyAlignment="1">
      <alignment vertical="top" wrapText="1"/>
    </xf>
    <xf numFmtId="0" fontId="37" fillId="0" borderId="0" xfId="0" applyFont="1" applyAlignment="1">
      <alignment horizontal="left" vertical="top" wrapText="1"/>
    </xf>
    <xf numFmtId="0" fontId="70" fillId="0" borderId="0" xfId="0" applyFont="1" applyAlignment="1">
      <alignment vertical="top" wrapText="1"/>
    </xf>
    <xf numFmtId="0" fontId="71" fillId="0" borderId="0" xfId="0" applyFont="1" applyAlignment="1">
      <alignment vertical="top" wrapText="1"/>
    </xf>
    <xf numFmtId="0" fontId="72" fillId="0" borderId="0" xfId="0" applyFont="1" applyAlignment="1">
      <alignment vertical="top" wrapText="1"/>
    </xf>
    <xf numFmtId="0" fontId="73" fillId="0" borderId="0" xfId="1" applyFont="1" applyFill="1" applyAlignment="1">
      <alignment vertical="top" wrapText="1"/>
    </xf>
    <xf numFmtId="0" fontId="38" fillId="0" borderId="0" xfId="0" applyFont="1" applyAlignment="1">
      <alignment horizontal="left" vertical="top" wrapText="1"/>
    </xf>
    <xf numFmtId="0" fontId="74" fillId="0" borderId="0" xfId="0" applyFont="1" applyAlignment="1">
      <alignment vertical="top" wrapText="1"/>
    </xf>
    <xf numFmtId="0" fontId="39" fillId="0" borderId="0" xfId="0" applyFont="1" applyAlignment="1">
      <alignment horizontal="left" vertical="top" wrapText="1"/>
    </xf>
    <xf numFmtId="0" fontId="64" fillId="0" borderId="0" xfId="0" applyFont="1" applyAlignment="1">
      <alignment vertical="top" wrapText="1"/>
    </xf>
    <xf numFmtId="0" fontId="18" fillId="0" borderId="0" xfId="0" applyFont="1" applyAlignment="1">
      <alignment horizontal="left" vertical="top" wrapText="1"/>
    </xf>
    <xf numFmtId="0" fontId="40" fillId="0" borderId="0" xfId="0" applyFont="1" applyAlignment="1">
      <alignment horizontal="left" vertical="top" wrapText="1"/>
    </xf>
    <xf numFmtId="0" fontId="7" fillId="0" borderId="0" xfId="0" applyFont="1" applyAlignment="1">
      <alignment horizontal="left" vertical="top" wrapText="1"/>
    </xf>
    <xf numFmtId="0" fontId="35" fillId="0" borderId="0" xfId="0" applyFont="1" applyAlignment="1">
      <alignment horizontal="left" vertical="top" wrapText="1"/>
    </xf>
    <xf numFmtId="0" fontId="74" fillId="0" borderId="0" xfId="0" applyFont="1" applyAlignment="1">
      <alignment horizontal="left" vertical="top" wrapText="1"/>
    </xf>
    <xf numFmtId="0" fontId="76" fillId="0" borderId="0" xfId="0" applyFont="1" applyAlignment="1">
      <alignment vertical="top" wrapText="1"/>
    </xf>
    <xf numFmtId="0" fontId="77" fillId="0" borderId="0" xfId="0" applyFont="1" applyAlignment="1">
      <alignment vertical="center" wrapText="1"/>
    </xf>
    <xf numFmtId="0" fontId="78" fillId="0" borderId="0" xfId="0" applyFont="1" applyAlignment="1">
      <alignment vertical="center" wrapText="1"/>
    </xf>
    <xf numFmtId="0" fontId="33" fillId="0" borderId="0" xfId="0" applyFont="1" applyAlignment="1">
      <alignment horizontal="left" vertical="top" wrapText="1"/>
    </xf>
    <xf numFmtId="0" fontId="79" fillId="0" borderId="0" xfId="0" applyFont="1" applyAlignment="1">
      <alignment horizontal="left" vertical="top" wrapText="1"/>
    </xf>
    <xf numFmtId="0" fontId="80" fillId="0" borderId="0" xfId="0" applyFont="1" applyAlignment="1">
      <alignment horizontal="left" vertical="top" wrapText="1"/>
    </xf>
    <xf numFmtId="0" fontId="33" fillId="0" borderId="0" xfId="0" applyFont="1" applyAlignment="1">
      <alignment vertical="top" wrapText="1"/>
    </xf>
    <xf numFmtId="6" fontId="45" fillId="0" borderId="0" xfId="0" applyNumberFormat="1" applyFont="1" applyAlignment="1">
      <alignment horizontal="center" vertical="center"/>
    </xf>
    <xf numFmtId="0" fontId="53" fillId="17" borderId="1" xfId="0" applyFont="1" applyFill="1" applyBorder="1" applyAlignment="1">
      <alignment horizontal="center" vertical="center" wrapText="1" readingOrder="1"/>
    </xf>
    <xf numFmtId="173" fontId="53" fillId="17" borderId="1" xfId="0" applyNumberFormat="1" applyFont="1" applyFill="1" applyBorder="1" applyAlignment="1">
      <alignment horizontal="center" vertical="center" wrapText="1" readingOrder="1"/>
    </xf>
    <xf numFmtId="6" fontId="53" fillId="17" borderId="1" xfId="0" applyNumberFormat="1" applyFont="1" applyFill="1" applyBorder="1" applyAlignment="1">
      <alignment horizontal="center" vertical="center" wrapText="1" readingOrder="1"/>
    </xf>
    <xf numFmtId="172" fontId="53" fillId="17" borderId="1" xfId="2" applyNumberFormat="1" applyFont="1" applyFill="1" applyBorder="1" applyAlignment="1">
      <alignment horizontal="center" vertical="center" wrapText="1" readingOrder="1"/>
    </xf>
    <xf numFmtId="1" fontId="53" fillId="17" borderId="1" xfId="0" applyNumberFormat="1" applyFont="1" applyFill="1" applyBorder="1" applyAlignment="1">
      <alignment horizontal="center" vertical="center" wrapText="1" readingOrder="1"/>
    </xf>
    <xf numFmtId="174" fontId="53" fillId="17" borderId="1" xfId="0" applyNumberFormat="1" applyFont="1" applyFill="1" applyBorder="1" applyAlignment="1">
      <alignment horizontal="center" vertical="center" wrapText="1" readingOrder="1"/>
    </xf>
    <xf numFmtId="0" fontId="68" fillId="3" borderId="1" xfId="0" applyFont="1" applyFill="1" applyBorder="1" applyAlignment="1">
      <alignment horizontal="center" vertical="center" wrapText="1" readingOrder="1"/>
    </xf>
    <xf numFmtId="164" fontId="68" fillId="3" borderId="1" xfId="0" applyNumberFormat="1" applyFont="1" applyFill="1" applyBorder="1" applyAlignment="1">
      <alignment horizontal="center" vertical="center" wrapText="1" readingOrder="1"/>
    </xf>
    <xf numFmtId="165" fontId="68" fillId="4" borderId="1" xfId="0" applyNumberFormat="1" applyFont="1" applyFill="1" applyBorder="1" applyAlignment="1">
      <alignment horizontal="center" vertical="center" wrapText="1" readingOrder="1"/>
    </xf>
    <xf numFmtId="0" fontId="68" fillId="19" borderId="1" xfId="0" applyFont="1" applyFill="1" applyBorder="1" applyAlignment="1">
      <alignment horizontal="center" vertical="center" wrapText="1" readingOrder="1"/>
    </xf>
    <xf numFmtId="164" fontId="68" fillId="19" borderId="1" xfId="0" applyNumberFormat="1" applyFont="1" applyFill="1" applyBorder="1" applyAlignment="1">
      <alignment horizontal="center" vertical="center" wrapText="1" readingOrder="1"/>
    </xf>
    <xf numFmtId="0" fontId="19" fillId="18" borderId="0" xfId="0" applyFont="1" applyFill="1" applyAlignment="1">
      <alignment horizontal="center" vertical="center"/>
    </xf>
    <xf numFmtId="0" fontId="67" fillId="12" borderId="1" xfId="0" applyFont="1" applyFill="1" applyBorder="1" applyAlignment="1">
      <alignment horizontal="center" vertical="center" wrapText="1" readingOrder="1"/>
    </xf>
    <xf numFmtId="6" fontId="81" fillId="15" borderId="1" xfId="1" applyNumberFormat="1" applyFont="1" applyFill="1" applyBorder="1" applyAlignment="1">
      <alignment horizontal="center" vertical="center" wrapText="1" readingOrder="1"/>
    </xf>
    <xf numFmtId="0" fontId="67" fillId="0" borderId="0" xfId="0" applyFont="1" applyAlignment="1">
      <alignment horizontal="center" vertical="center"/>
    </xf>
    <xf numFmtId="0" fontId="81" fillId="12" borderId="1" xfId="1" applyFont="1" applyFill="1" applyBorder="1" applyAlignment="1">
      <alignment horizontal="center" vertical="center" wrapText="1" readingOrder="1"/>
    </xf>
    <xf numFmtId="0" fontId="81" fillId="13" borderId="1" xfId="1" applyFont="1" applyFill="1" applyBorder="1" applyAlignment="1">
      <alignment horizontal="center" vertical="center" wrapText="1" readingOrder="1"/>
    </xf>
    <xf numFmtId="6" fontId="81" fillId="13" borderId="1" xfId="1" applyNumberFormat="1" applyFont="1" applyFill="1" applyBorder="1" applyAlignment="1">
      <alignment horizontal="center" vertical="center" wrapText="1" readingOrder="1"/>
    </xf>
    <xf numFmtId="0" fontId="81" fillId="14" borderId="1" xfId="1" applyFont="1" applyFill="1" applyBorder="1" applyAlignment="1">
      <alignment horizontal="center" vertical="center" wrapText="1" readingOrder="1"/>
    </xf>
    <xf numFmtId="0" fontId="81" fillId="15" borderId="1" xfId="1" applyFont="1" applyFill="1" applyBorder="1" applyAlignment="1">
      <alignment horizontal="center" vertical="center" wrapText="1" readingOrder="1"/>
    </xf>
    <xf numFmtId="0" fontId="63" fillId="0" borderId="0" xfId="0" applyFont="1" applyAlignment="1">
      <alignment horizontal="left" vertical="top" wrapText="1"/>
    </xf>
    <xf numFmtId="0" fontId="82" fillId="0" borderId="0" xfId="1" applyFont="1" applyAlignment="1">
      <alignment horizontal="left" vertical="center" wrapText="1"/>
    </xf>
    <xf numFmtId="0" fontId="83" fillId="3" borderId="1" xfId="0" applyFont="1" applyFill="1" applyBorder="1" applyAlignment="1">
      <alignment horizontal="center" vertical="top" wrapText="1" readingOrder="1"/>
    </xf>
    <xf numFmtId="164" fontId="83" fillId="3" borderId="1" xfId="0" applyNumberFormat="1" applyFont="1" applyFill="1" applyBorder="1" applyAlignment="1">
      <alignment horizontal="right" vertical="top" wrapText="1" readingOrder="1"/>
    </xf>
    <xf numFmtId="164" fontId="83" fillId="3" borderId="1" xfId="0" applyNumberFormat="1" applyFont="1" applyFill="1" applyBorder="1" applyAlignment="1">
      <alignment vertical="top" wrapText="1" readingOrder="1"/>
    </xf>
    <xf numFmtId="165" fontId="83" fillId="4" borderId="1" xfId="0" applyNumberFormat="1" applyFont="1" applyFill="1" applyBorder="1" applyAlignment="1">
      <alignment horizontal="right" vertical="top" wrapText="1" readingOrder="1"/>
    </xf>
    <xf numFmtId="167" fontId="83" fillId="4" borderId="1" xfId="0" applyNumberFormat="1" applyFont="1" applyFill="1" applyBorder="1" applyAlignment="1">
      <alignment horizontal="right" vertical="top" wrapText="1" readingOrder="1"/>
    </xf>
    <xf numFmtId="168" fontId="83" fillId="4" borderId="1" xfId="0" applyNumberFormat="1" applyFont="1" applyFill="1" applyBorder="1" applyAlignment="1">
      <alignment horizontal="right" vertical="top" wrapText="1" readingOrder="1"/>
    </xf>
    <xf numFmtId="169" fontId="83" fillId="4" borderId="1" xfId="0" applyNumberFormat="1" applyFont="1" applyFill="1" applyBorder="1" applyAlignment="1">
      <alignment horizontal="right" vertical="top" wrapText="1" readingOrder="1"/>
    </xf>
    <xf numFmtId="166" fontId="83" fillId="4" borderId="1" xfId="0" applyNumberFormat="1" applyFont="1" applyFill="1" applyBorder="1" applyAlignment="1">
      <alignment horizontal="right" vertical="top" wrapText="1" readingOrder="1"/>
    </xf>
    <xf numFmtId="170" fontId="83" fillId="4" borderId="1" xfId="0" applyNumberFormat="1" applyFont="1" applyFill="1" applyBorder="1" applyAlignment="1">
      <alignment horizontal="right" vertical="top" wrapText="1" readingOrder="1"/>
    </xf>
    <xf numFmtId="0" fontId="84" fillId="0" borderId="0" xfId="0" applyFont="1"/>
    <xf numFmtId="0" fontId="83" fillId="5" borderId="1" xfId="0" applyFont="1" applyFill="1" applyBorder="1" applyAlignment="1">
      <alignment horizontal="center" vertical="top" wrapText="1" readingOrder="1"/>
    </xf>
    <xf numFmtId="164" fontId="83" fillId="5" borderId="1" xfId="0" applyNumberFormat="1" applyFont="1" applyFill="1" applyBorder="1" applyAlignment="1">
      <alignment horizontal="right" vertical="top" wrapText="1" readingOrder="1"/>
    </xf>
    <xf numFmtId="164" fontId="83" fillId="5" borderId="1" xfId="0" applyNumberFormat="1" applyFont="1" applyFill="1" applyBorder="1" applyAlignment="1">
      <alignment vertical="top" wrapText="1" readingOrder="1"/>
    </xf>
    <xf numFmtId="0" fontId="83" fillId="3" borderId="1" xfId="0" applyFont="1" applyFill="1" applyBorder="1" applyAlignment="1">
      <alignment horizontal="left" vertical="top" wrapText="1" readingOrder="1"/>
    </xf>
    <xf numFmtId="0" fontId="83" fillId="5" borderId="1" xfId="0" applyFont="1" applyFill="1" applyBorder="1" applyAlignment="1">
      <alignment horizontal="left" vertical="top" wrapText="1" readingOrder="1"/>
    </xf>
    <xf numFmtId="0" fontId="0" fillId="18" borderId="0" xfId="0" applyFill="1"/>
    <xf numFmtId="0" fontId="81" fillId="27" borderId="1" xfId="1" applyFont="1" applyFill="1" applyBorder="1" applyAlignment="1">
      <alignment horizontal="center" vertical="center" wrapText="1" readingOrder="1"/>
    </xf>
    <xf numFmtId="174" fontId="81" fillId="15" borderId="1" xfId="1" applyNumberFormat="1" applyFont="1" applyFill="1" applyBorder="1" applyAlignment="1">
      <alignment horizontal="center" vertical="center" wrapText="1" readingOrder="1"/>
    </xf>
    <xf numFmtId="0" fontId="0" fillId="0" borderId="10" xfId="0" applyBorder="1"/>
    <xf numFmtId="0" fontId="0" fillId="0" borderId="10" xfId="0" applyBorder="1" applyAlignment="1">
      <alignment wrapText="1"/>
    </xf>
    <xf numFmtId="0" fontId="85" fillId="3" borderId="1" xfId="0" applyFont="1" applyFill="1" applyBorder="1" applyAlignment="1">
      <alignment horizontal="center" vertical="top" wrapText="1" readingOrder="1"/>
    </xf>
    <xf numFmtId="164" fontId="85" fillId="3" borderId="1" xfId="0" applyNumberFormat="1" applyFont="1" applyFill="1" applyBorder="1" applyAlignment="1">
      <alignment horizontal="right" vertical="top" wrapText="1" readingOrder="1"/>
    </xf>
    <xf numFmtId="0" fontId="85" fillId="3" borderId="1" xfId="0" applyFont="1" applyFill="1" applyBorder="1" applyAlignment="1">
      <alignment horizontal="right" vertical="top" wrapText="1" readingOrder="1"/>
    </xf>
    <xf numFmtId="0" fontId="85" fillId="3" borderId="1" xfId="0" applyFont="1" applyFill="1" applyBorder="1" applyAlignment="1">
      <alignment horizontal="left" vertical="top" wrapText="1" readingOrder="1"/>
    </xf>
    <xf numFmtId="0" fontId="85" fillId="0" borderId="1" xfId="0" applyFont="1" applyBorder="1" applyAlignment="1">
      <alignment horizontal="left" vertical="top" wrapText="1" readingOrder="1"/>
    </xf>
    <xf numFmtId="0" fontId="85" fillId="5" borderId="1" xfId="0" applyFont="1" applyFill="1" applyBorder="1" applyAlignment="1">
      <alignment horizontal="center" vertical="top" wrapText="1" readingOrder="1"/>
    </xf>
    <xf numFmtId="164" fontId="85" fillId="5" borderId="1" xfId="0" applyNumberFormat="1" applyFont="1" applyFill="1" applyBorder="1" applyAlignment="1">
      <alignment horizontal="right" vertical="top" wrapText="1" readingOrder="1"/>
    </xf>
    <xf numFmtId="0" fontId="85" fillId="5" borderId="1" xfId="0" applyFont="1" applyFill="1" applyBorder="1" applyAlignment="1">
      <alignment horizontal="right" vertical="top" wrapText="1" readingOrder="1"/>
    </xf>
    <xf numFmtId="0" fontId="85" fillId="5" borderId="1" xfId="0" applyFont="1" applyFill="1" applyBorder="1" applyAlignment="1">
      <alignment horizontal="left" vertical="top" wrapText="1" readingOrder="1"/>
    </xf>
    <xf numFmtId="165" fontId="85" fillId="4" borderId="1" xfId="0" applyNumberFormat="1" applyFont="1" applyFill="1" applyBorder="1" applyAlignment="1">
      <alignment horizontal="right" vertical="top" wrapText="1" readingOrder="1"/>
    </xf>
    <xf numFmtId="175" fontId="85" fillId="4" borderId="1" xfId="0" applyNumberFormat="1" applyFont="1" applyFill="1" applyBorder="1" applyAlignment="1">
      <alignment horizontal="right" vertical="top" wrapText="1" readingOrder="1"/>
    </xf>
    <xf numFmtId="167" fontId="85" fillId="4" borderId="1" xfId="0" applyNumberFormat="1" applyFont="1" applyFill="1" applyBorder="1" applyAlignment="1">
      <alignment horizontal="right" vertical="top" wrapText="1" readingOrder="1"/>
    </xf>
    <xf numFmtId="168" fontId="85" fillId="4" borderId="1" xfId="0" applyNumberFormat="1" applyFont="1" applyFill="1" applyBorder="1" applyAlignment="1">
      <alignment horizontal="right" vertical="top" wrapText="1" readingOrder="1"/>
    </xf>
    <xf numFmtId="169" fontId="85" fillId="4" borderId="1" xfId="0" applyNumberFormat="1" applyFont="1" applyFill="1" applyBorder="1" applyAlignment="1">
      <alignment horizontal="right" vertical="top" wrapText="1" readingOrder="1"/>
    </xf>
    <xf numFmtId="166" fontId="85" fillId="4" borderId="1" xfId="0" applyNumberFormat="1" applyFont="1" applyFill="1" applyBorder="1" applyAlignment="1">
      <alignment horizontal="right" vertical="top" wrapText="1" readingOrder="1"/>
    </xf>
    <xf numFmtId="170" fontId="85" fillId="4" borderId="1" xfId="0" applyNumberFormat="1" applyFont="1" applyFill="1" applyBorder="1" applyAlignment="1">
      <alignment horizontal="right" vertical="top" wrapText="1" readingOrder="1"/>
    </xf>
    <xf numFmtId="0" fontId="85" fillId="4" borderId="1" xfId="0" applyFont="1" applyFill="1" applyBorder="1" applyAlignment="1">
      <alignment horizontal="right" vertical="top" wrapText="1" readingOrder="1"/>
    </xf>
    <xf numFmtId="0" fontId="53" fillId="3" borderId="1" xfId="0" applyFont="1" applyFill="1" applyBorder="1" applyAlignment="1">
      <alignment horizontal="center" vertical="center" wrapText="1" readingOrder="1"/>
    </xf>
    <xf numFmtId="0" fontId="53" fillId="5" borderId="1" xfId="0" applyFont="1" applyFill="1" applyBorder="1" applyAlignment="1">
      <alignment horizontal="center" vertical="center" wrapText="1" readingOrder="1"/>
    </xf>
    <xf numFmtId="0" fontId="85" fillId="30" borderId="1" xfId="0" applyFont="1" applyFill="1" applyBorder="1" applyAlignment="1">
      <alignment horizontal="center" vertical="top" wrapText="1" readingOrder="1"/>
    </xf>
    <xf numFmtId="0" fontId="87" fillId="12" borderId="1" xfId="0" applyFont="1" applyFill="1" applyBorder="1" applyAlignment="1">
      <alignment horizontal="center" vertical="center" wrapText="1" readingOrder="1"/>
    </xf>
    <xf numFmtId="0" fontId="88" fillId="0" borderId="0" xfId="0" applyFont="1" applyAlignment="1">
      <alignment horizontal="center" vertical="center"/>
    </xf>
    <xf numFmtId="0" fontId="53" fillId="0" borderId="1" xfId="0" applyFont="1" applyBorder="1" applyAlignment="1">
      <alignment horizontal="center" vertical="center" wrapText="1" readingOrder="1"/>
    </xf>
    <xf numFmtId="173" fontId="53" fillId="0" borderId="1" xfId="0" applyNumberFormat="1" applyFont="1" applyBorder="1" applyAlignment="1">
      <alignment horizontal="center" vertical="center" wrapText="1" readingOrder="1"/>
    </xf>
    <xf numFmtId="6" fontId="53" fillId="0" borderId="1" xfId="0" applyNumberFormat="1" applyFont="1" applyBorder="1" applyAlignment="1">
      <alignment horizontal="center" vertical="center" wrapText="1" readingOrder="1"/>
    </xf>
    <xf numFmtId="172" fontId="53" fillId="0" borderId="1" xfId="2" applyNumberFormat="1" applyFont="1" applyFill="1" applyBorder="1" applyAlignment="1">
      <alignment horizontal="center" vertical="center" wrapText="1" readingOrder="1"/>
    </xf>
    <xf numFmtId="1" fontId="53" fillId="0" borderId="1" xfId="0" applyNumberFormat="1" applyFont="1" applyBorder="1" applyAlignment="1">
      <alignment horizontal="center" vertical="center" wrapText="1" readingOrder="1"/>
    </xf>
    <xf numFmtId="174" fontId="53" fillId="0" borderId="1" xfId="0" applyNumberFormat="1" applyFont="1" applyBorder="1" applyAlignment="1">
      <alignment horizontal="center" vertical="center" wrapText="1" readingOrder="1"/>
    </xf>
    <xf numFmtId="173" fontId="45" fillId="0" borderId="0" xfId="0" applyNumberFormat="1" applyFont="1" applyAlignment="1">
      <alignment horizontal="center" vertical="center"/>
    </xf>
    <xf numFmtId="0" fontId="45" fillId="0" borderId="8" xfId="0" applyFont="1" applyBorder="1" applyAlignment="1">
      <alignment vertical="center" wrapText="1"/>
    </xf>
    <xf numFmtId="0" fontId="45" fillId="0" borderId="0" xfId="0" applyFont="1" applyAlignment="1">
      <alignment vertical="center" wrapText="1"/>
    </xf>
    <xf numFmtId="0" fontId="12" fillId="31" borderId="1" xfId="0" applyFont="1" applyFill="1" applyBorder="1" applyAlignment="1">
      <alignment horizontal="center" vertical="top" wrapText="1" readingOrder="1"/>
    </xf>
    <xf numFmtId="174" fontId="14" fillId="0" borderId="1" xfId="0" applyNumberFormat="1" applyFont="1" applyBorder="1" applyAlignment="1">
      <alignment horizontal="center" vertical="top" wrapText="1" readingOrder="1"/>
    </xf>
    <xf numFmtId="1" fontId="14" fillId="0" borderId="1" xfId="0" applyNumberFormat="1" applyFont="1" applyBorder="1" applyAlignment="1">
      <alignment horizontal="center" vertical="top" wrapText="1" readingOrder="1"/>
    </xf>
    <xf numFmtId="0" fontId="50" fillId="17" borderId="0" xfId="0" applyFont="1" applyFill="1" applyAlignment="1" applyProtection="1">
      <alignment horizontal="right" vertical="center" wrapText="1"/>
      <protection hidden="1"/>
    </xf>
    <xf numFmtId="0" fontId="89" fillId="0" borderId="0" xfId="0" applyFont="1"/>
    <xf numFmtId="49" fontId="57" fillId="0" borderId="0" xfId="0" applyNumberFormat="1" applyFont="1" applyAlignment="1">
      <alignment horizontal="left" vertical="center" wrapText="1"/>
    </xf>
    <xf numFmtId="0" fontId="66" fillId="0" borderId="0" xfId="0" applyFont="1" applyAlignment="1">
      <alignment horizontal="center" vertical="center"/>
    </xf>
    <xf numFmtId="0" fontId="50" fillId="0" borderId="0" xfId="0" applyFont="1" applyAlignment="1">
      <alignment horizontal="left" vertical="center"/>
    </xf>
    <xf numFmtId="0" fontId="41" fillId="24" borderId="0" xfId="0" applyFont="1" applyFill="1" applyAlignment="1" applyProtection="1">
      <alignment horizontal="left" vertical="center"/>
      <protection locked="0"/>
    </xf>
    <xf numFmtId="0" fontId="50" fillId="25" borderId="0" xfId="0" applyFont="1" applyFill="1" applyAlignment="1" applyProtection="1">
      <alignment horizontal="left" vertical="center"/>
      <protection locked="0"/>
    </xf>
    <xf numFmtId="0" fontId="41" fillId="24" borderId="9" xfId="0" applyFont="1" applyFill="1" applyBorder="1" applyAlignment="1" applyProtection="1">
      <alignment horizontal="left" vertical="center"/>
      <protection locked="0"/>
    </xf>
    <xf numFmtId="0" fontId="50" fillId="25" borderId="9" xfId="0" applyFont="1" applyFill="1" applyBorder="1" applyAlignment="1" applyProtection="1">
      <alignment horizontal="left" vertical="center"/>
      <protection locked="0"/>
    </xf>
    <xf numFmtId="0" fontId="85" fillId="3" borderId="1" xfId="0" applyFont="1" applyFill="1" applyBorder="1" applyAlignment="1">
      <alignment horizontal="left" vertical="top" wrapText="1" readingOrder="1"/>
    </xf>
    <xf numFmtId="0" fontId="86" fillId="0" borderId="11" xfId="0" applyFont="1" applyBorder="1" applyAlignment="1">
      <alignment vertical="top" wrapText="1"/>
    </xf>
    <xf numFmtId="0" fontId="85" fillId="5" borderId="1" xfId="0" applyFont="1" applyFill="1" applyBorder="1" applyAlignment="1">
      <alignment horizontal="left" vertical="top" wrapText="1" readingOrder="1"/>
    </xf>
  </cellXfs>
  <cellStyles count="3">
    <cellStyle name="Hyperlink" xfId="1" builtinId="8"/>
    <cellStyle name="Normal" xfId="0" builtinId="0"/>
    <cellStyle name="Percent" xfId="2" builtinId="5"/>
  </cellStyles>
  <dxfs count="4">
    <dxf>
      <fill>
        <patternFill patternType="none">
          <bgColor auto="1"/>
        </patternFill>
      </fill>
    </dxf>
    <dxf>
      <fill>
        <patternFill patternType="none">
          <bgColor auto="1"/>
        </patternFill>
      </fill>
    </dxf>
    <dxf>
      <fill>
        <patternFill>
          <bgColor theme="8" tint="-0.24994659260841701"/>
        </patternFill>
      </fill>
    </dxf>
    <dxf>
      <fill>
        <patternFill patternType="none">
          <bgColor auto="1"/>
        </patternFill>
      </fill>
    </dxf>
  </dxfs>
  <tableStyles count="0" defaultTableStyle="TableStyleMedium2" defaultPivotStyle="PivotStyleLight16"/>
  <colors>
    <mruColors>
      <color rgb="FF005480"/>
      <color rgb="FFF7921E"/>
      <color rgb="FFA0A0A4"/>
      <color rgb="FF00B5E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5368</xdr:colOff>
      <xdr:row>0</xdr:row>
      <xdr:rowOff>0</xdr:rowOff>
    </xdr:from>
    <xdr:to>
      <xdr:col>16</xdr:col>
      <xdr:colOff>253783</xdr:colOff>
      <xdr:row>42</xdr:row>
      <xdr:rowOff>10795</xdr:rowOff>
    </xdr:to>
    <xdr:pic>
      <xdr:nvPicPr>
        <xdr:cNvPr id="5" name="Picture 4">
          <a:extLst>
            <a:ext uri="{FF2B5EF4-FFF2-40B4-BE49-F238E27FC236}">
              <a16:creationId xmlns:a16="http://schemas.microsoft.com/office/drawing/2014/main" id="{4CE53C57-7A2C-2FB3-E2EA-D8344070F94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5368" y="0"/>
          <a:ext cx="9849615" cy="761174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Lani Harac" id="{ED2F5178-1D93-4283-B782-FA39F14212A4}" userId="S::Lani.Harac@chiamass.gov::9b80ccf7-c350-42a9-8aab-ff7765df34b9" providerId="AD"/>
  <person displayName="Alexandra Jones" id="{D62A9B18-9A60-4903-91BE-72056B82D9C3}" userId="S::Alexandra.Jones@chiamass.gov::98a8b9b6-758d-497c-acf1-43e34776f328" providerId="AD"/>
  <person displayName="Elizabeth Almanzor" id="{1C522864-D1B4-42FA-9E9D-C8B07460E7E7}" userId="S::Elizabeth.Almanzor@chiamass.gov::ce675200-d3d4-4831-9a6c-ffde7bcdf6a5"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A1" dT="2025-03-24T19:14:18.08" personId="{D62A9B18-9A60-4903-91BE-72056B82D9C3}" id="{29873D80-76A8-46C0-AFB2-2D7FF6664F47}">
    <text>PFA—assuming this tab is for internal use only, can it be hidden before it goes to Lauren for review?</text>
  </threadedComment>
</ThreadedComments>
</file>

<file path=xl/threadedComments/threadedComment2.xml><?xml version="1.0" encoding="utf-8"?>
<ThreadedComments xmlns="http://schemas.microsoft.com/office/spreadsheetml/2018/threadedcomments" xmlns:x="http://schemas.openxmlformats.org/spreadsheetml/2006/main">
  <threadedComment ref="Q1" dT="2025-03-24T15:19:19.16" personId="{ED2F5178-1D93-4283-B782-FA39F14212A4}" id="{C299C7C9-1A39-48FD-BD86-2B924DFED714}" done="1">
    <text>Does the different shading in this column and others have some significance?</text>
  </threadedComment>
  <threadedComment ref="Q1" dT="2025-03-24T19:54:32.42" personId="{1C522864-D1B4-42FA-9E9D-C8B07460E7E7}" id="{7F60912A-0156-4625-B151-125BC7D0288B}" parentId="{C299C7C9-1A39-48FD-BD86-2B924DFED714}">
    <text>Yes. These are either totals or subtotals of the previous columns</text>
  </threadedComment>
  <threadedComment ref="BI1" dT="2025-03-24T15:23:30.31" personId="{ED2F5178-1D93-4283-B782-FA39F14212A4}" id="{3FF66943-18C0-4B82-9877-6674955A4E98}" done="1">
    <text>Should “Assessments” be plural?</text>
  </threadedComment>
  <threadedComment ref="BI1" dT="2025-03-24T19:57:43.01" personId="{1C522864-D1B4-42FA-9E9D-C8B07460E7E7}" id="{8406D3AD-71E2-43CE-9B0C-6BE2704A10C1}" parentId="{3FF66943-18C0-4B82-9877-6674955A4E98}">
    <text>No, assessment is accurate</text>
  </threadedComment>
</ThreadedComment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chiamass.gov/assets/docs/r/hospital-profiles/2023/FY23-Massachusetts-Hospital-Profiles-Technical-Appendix.pdf" TargetMode="External"/><Relationship Id="rId1" Type="http://schemas.openxmlformats.org/officeDocument/2006/relationships/hyperlink" Target="https://www.chiamass.gov/financial-metric-formulas-and-calculations"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hyperlink" Target="https://www.mass.gov/info-details/trauma-hospital-destinations" TargetMode="External"/><Relationship Id="rId4" Type="http://schemas.microsoft.com/office/2017/10/relationships/threadedComment" Target="../threadedComments/threadedComment1.xml"/></Relationships>
</file>

<file path=xl/worksheets/_rels/sheet8.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47EBB3-61C2-4FC5-96AF-D4E3AE9E7ED1}">
  <sheetPr codeName="Sheet4"/>
  <dimension ref="A1:D10"/>
  <sheetViews>
    <sheetView workbookViewId="0">
      <selection activeCell="H5" sqref="H5"/>
    </sheetView>
  </sheetViews>
  <sheetFormatPr defaultRowHeight="14.4" x14ac:dyDescent="0.3"/>
  <sheetData>
    <row r="1" spans="1:4" x14ac:dyDescent="0.3">
      <c r="A1" s="268" t="s">
        <v>726</v>
      </c>
      <c r="B1" s="268" t="s">
        <v>727</v>
      </c>
      <c r="C1" s="268" t="s">
        <v>728</v>
      </c>
      <c r="D1" s="268"/>
    </row>
    <row r="2" spans="1:4" x14ac:dyDescent="0.3">
      <c r="A2" s="268" t="s">
        <v>729</v>
      </c>
      <c r="B2" s="268" t="s">
        <v>7</v>
      </c>
      <c r="C2" s="268" t="s">
        <v>2</v>
      </c>
      <c r="D2" s="268" t="s">
        <v>730</v>
      </c>
    </row>
    <row r="3" spans="1:4" x14ac:dyDescent="0.3">
      <c r="A3" s="268" t="s">
        <v>731</v>
      </c>
      <c r="B3" s="268" t="s">
        <v>1</v>
      </c>
      <c r="C3" s="268" t="s">
        <v>5</v>
      </c>
      <c r="D3" s="268"/>
    </row>
    <row r="4" spans="1:4" x14ac:dyDescent="0.3">
      <c r="A4" s="268" t="s">
        <v>732</v>
      </c>
      <c r="B4" s="268" t="s">
        <v>0</v>
      </c>
      <c r="C4" s="268" t="s">
        <v>656</v>
      </c>
      <c r="D4" s="268"/>
    </row>
    <row r="5" spans="1:4" x14ac:dyDescent="0.3">
      <c r="A5" s="268" t="s">
        <v>733</v>
      </c>
      <c r="B5" s="268" t="s">
        <v>734</v>
      </c>
      <c r="C5" s="268"/>
      <c r="D5" s="268"/>
    </row>
    <row r="6" spans="1:4" x14ac:dyDescent="0.3">
      <c r="A6" s="268" t="s">
        <v>735</v>
      </c>
      <c r="B6" s="268" t="s">
        <v>736</v>
      </c>
      <c r="C6" s="268"/>
      <c r="D6" s="268"/>
    </row>
    <row r="7" spans="1:4" x14ac:dyDescent="0.3">
      <c r="A7" s="268" t="s">
        <v>737</v>
      </c>
      <c r="B7" s="268"/>
      <c r="C7" s="268"/>
      <c r="D7" s="268"/>
    </row>
    <row r="8" spans="1:4" x14ac:dyDescent="0.3">
      <c r="A8" s="268" t="s">
        <v>738</v>
      </c>
      <c r="B8" s="268"/>
      <c r="C8" s="268"/>
      <c r="D8" s="268"/>
    </row>
    <row r="9" spans="1:4" x14ac:dyDescent="0.3">
      <c r="A9" s="268" t="s">
        <v>739</v>
      </c>
      <c r="B9" s="268"/>
      <c r="C9" s="268"/>
      <c r="D9" s="268"/>
    </row>
    <row r="10" spans="1:4" x14ac:dyDescent="0.3">
      <c r="A10" s="268" t="s">
        <v>740</v>
      </c>
      <c r="B10" s="268"/>
      <c r="C10" s="268"/>
      <c r="D10" s="268"/>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88C3DA-FDB9-4F03-8D51-FA9A1E4816C2}">
  <sheetPr codeName="Sheet8"/>
  <dimension ref="A1:P133"/>
  <sheetViews>
    <sheetView zoomScaleNormal="100" workbookViewId="0"/>
  </sheetViews>
  <sheetFormatPr defaultColWidth="9.44140625" defaultRowHeight="30" customHeight="1" x14ac:dyDescent="0.3"/>
  <cols>
    <col min="1" max="1" width="17.44140625" style="56" customWidth="1"/>
    <col min="2" max="2" width="31.5546875" style="56" bestFit="1" customWidth="1"/>
    <col min="3" max="8" width="17.44140625" style="56" customWidth="1"/>
    <col min="9" max="9" width="19.5546875" style="56" bestFit="1" customWidth="1"/>
    <col min="10" max="16" width="20.5546875" style="56" customWidth="1"/>
    <col min="17" max="16384" width="9.44140625" style="56"/>
  </cols>
  <sheetData>
    <row r="1" spans="1:16" ht="60" x14ac:dyDescent="0.3">
      <c r="A1" s="55" t="s">
        <v>46</v>
      </c>
      <c r="B1" s="55" t="s">
        <v>208</v>
      </c>
      <c r="C1" s="55" t="s">
        <v>209</v>
      </c>
      <c r="D1" s="55" t="s">
        <v>47</v>
      </c>
      <c r="E1" s="55" t="s">
        <v>210</v>
      </c>
      <c r="F1" s="55" t="s">
        <v>211</v>
      </c>
      <c r="G1" s="55" t="s">
        <v>212</v>
      </c>
      <c r="H1" s="55" t="s">
        <v>213</v>
      </c>
      <c r="I1" s="55" t="s">
        <v>214</v>
      </c>
      <c r="J1" s="55" t="s">
        <v>684</v>
      </c>
      <c r="K1" s="55" t="s">
        <v>283</v>
      </c>
      <c r="L1" s="55" t="s">
        <v>285</v>
      </c>
      <c r="M1" s="55" t="s">
        <v>287</v>
      </c>
      <c r="N1" s="55" t="s">
        <v>289</v>
      </c>
      <c r="O1" s="55" t="s">
        <v>291</v>
      </c>
      <c r="P1" s="55" t="s">
        <v>293</v>
      </c>
    </row>
    <row r="2" spans="1:16" ht="30" customHeight="1" x14ac:dyDescent="0.3">
      <c r="A2" s="233">
        <v>12118</v>
      </c>
      <c r="B2" s="233" t="s">
        <v>89</v>
      </c>
      <c r="C2" s="233" t="s">
        <v>83</v>
      </c>
      <c r="D2" s="233">
        <v>3106</v>
      </c>
      <c r="E2" s="233">
        <v>2026</v>
      </c>
      <c r="F2" s="233" t="s">
        <v>275</v>
      </c>
      <c r="G2" s="233">
        <v>2</v>
      </c>
      <c r="H2" s="233">
        <v>6</v>
      </c>
      <c r="I2" s="233" t="s">
        <v>703</v>
      </c>
      <c r="J2" s="64">
        <v>81900</v>
      </c>
      <c r="K2" s="234">
        <v>0</v>
      </c>
      <c r="L2" s="236"/>
      <c r="M2" s="234">
        <v>0</v>
      </c>
      <c r="N2" s="236"/>
      <c r="O2" s="234">
        <v>81900</v>
      </c>
      <c r="P2" s="236" t="s">
        <v>296</v>
      </c>
    </row>
    <row r="3" spans="1:16" ht="30" customHeight="1" x14ac:dyDescent="0.3">
      <c r="A3" s="238">
        <v>21965</v>
      </c>
      <c r="B3" s="238" t="s">
        <v>207</v>
      </c>
      <c r="C3" s="238" t="s">
        <v>83</v>
      </c>
      <c r="D3" s="238">
        <v>3106</v>
      </c>
      <c r="E3" s="238">
        <v>2026</v>
      </c>
      <c r="F3" s="238" t="s">
        <v>275</v>
      </c>
      <c r="G3" s="238">
        <v>2</v>
      </c>
      <c r="H3" s="238">
        <v>6</v>
      </c>
      <c r="I3" s="238" t="s">
        <v>703</v>
      </c>
      <c r="J3" s="94">
        <v>2467727</v>
      </c>
      <c r="K3" s="239">
        <v>701097</v>
      </c>
      <c r="L3" s="241" t="s">
        <v>296</v>
      </c>
      <c r="M3" s="239">
        <v>664320</v>
      </c>
      <c r="N3" s="241" t="s">
        <v>296</v>
      </c>
      <c r="O3" s="239">
        <v>1102310</v>
      </c>
      <c r="P3" s="241" t="s">
        <v>296</v>
      </c>
    </row>
    <row r="4" spans="1:16" ht="30" customHeight="1" x14ac:dyDescent="0.3">
      <c r="A4" s="233">
        <v>6309</v>
      </c>
      <c r="B4" s="233" t="s">
        <v>86</v>
      </c>
      <c r="C4" s="233" t="s">
        <v>77</v>
      </c>
      <c r="D4" s="233">
        <v>3106</v>
      </c>
      <c r="E4" s="233">
        <v>2026</v>
      </c>
      <c r="F4" s="233" t="s">
        <v>275</v>
      </c>
      <c r="G4" s="233">
        <v>2</v>
      </c>
      <c r="H4" s="233">
        <v>6</v>
      </c>
      <c r="I4" s="233" t="s">
        <v>703</v>
      </c>
      <c r="J4" s="64">
        <v>16302038</v>
      </c>
      <c r="K4" s="234">
        <v>3823081</v>
      </c>
      <c r="L4" s="236" t="s">
        <v>296</v>
      </c>
      <c r="M4" s="234">
        <v>8264403</v>
      </c>
      <c r="N4" s="236" t="s">
        <v>296</v>
      </c>
      <c r="O4" s="234">
        <v>4214554</v>
      </c>
      <c r="P4" s="236" t="s">
        <v>296</v>
      </c>
    </row>
    <row r="5" spans="1:16" ht="30" customHeight="1" x14ac:dyDescent="0.3">
      <c r="A5" s="238">
        <v>8</v>
      </c>
      <c r="B5" s="238" t="s">
        <v>87</v>
      </c>
      <c r="C5" s="238" t="s">
        <v>77</v>
      </c>
      <c r="D5" s="238">
        <v>3106</v>
      </c>
      <c r="E5" s="238">
        <v>2026</v>
      </c>
      <c r="F5" s="238" t="s">
        <v>275</v>
      </c>
      <c r="G5" s="238">
        <v>2</v>
      </c>
      <c r="H5" s="238">
        <v>6</v>
      </c>
      <c r="I5" s="238" t="s">
        <v>703</v>
      </c>
      <c r="J5" s="94">
        <v>757176</v>
      </c>
      <c r="K5" s="239">
        <v>112597</v>
      </c>
      <c r="L5" s="241" t="s">
        <v>296</v>
      </c>
      <c r="M5" s="239">
        <v>408149</v>
      </c>
      <c r="N5" s="241" t="s">
        <v>296</v>
      </c>
      <c r="O5" s="239">
        <v>236430</v>
      </c>
      <c r="P5" s="241" t="s">
        <v>296</v>
      </c>
    </row>
    <row r="6" spans="1:16" ht="30" customHeight="1" x14ac:dyDescent="0.3">
      <c r="A6" s="233">
        <v>11794</v>
      </c>
      <c r="B6" s="233" t="s">
        <v>88</v>
      </c>
      <c r="C6" s="233" t="s">
        <v>83</v>
      </c>
      <c r="D6" s="233">
        <v>3106</v>
      </c>
      <c r="E6" s="233">
        <v>2026</v>
      </c>
      <c r="F6" s="233" t="s">
        <v>275</v>
      </c>
      <c r="G6" s="233">
        <v>2</v>
      </c>
      <c r="H6" s="233">
        <v>6</v>
      </c>
      <c r="I6" s="233" t="s">
        <v>703</v>
      </c>
      <c r="J6" s="64">
        <v>2092399</v>
      </c>
      <c r="K6" s="234">
        <v>0</v>
      </c>
      <c r="L6" s="236"/>
      <c r="M6" s="234">
        <v>7000</v>
      </c>
      <c r="N6" s="236" t="s">
        <v>296</v>
      </c>
      <c r="O6" s="234">
        <v>2085399</v>
      </c>
      <c r="P6" s="236" t="s">
        <v>296</v>
      </c>
    </row>
    <row r="7" spans="1:16" ht="30" customHeight="1" x14ac:dyDescent="0.3">
      <c r="A7" s="238">
        <v>3106</v>
      </c>
      <c r="B7" s="238" t="s">
        <v>84</v>
      </c>
      <c r="C7" s="238" t="s">
        <v>75</v>
      </c>
      <c r="D7" s="238">
        <v>3106</v>
      </c>
      <c r="E7" s="238">
        <v>2026</v>
      </c>
      <c r="F7" s="238" t="s">
        <v>275</v>
      </c>
      <c r="G7" s="238">
        <v>2</v>
      </c>
      <c r="H7" s="238">
        <v>6</v>
      </c>
      <c r="I7" s="238" t="s">
        <v>703</v>
      </c>
      <c r="J7" s="94">
        <v>21701242</v>
      </c>
      <c r="K7" s="239">
        <v>4636776</v>
      </c>
      <c r="L7" s="241" t="s">
        <v>296</v>
      </c>
      <c r="M7" s="239">
        <v>9343873</v>
      </c>
      <c r="N7" s="241" t="s">
        <v>296</v>
      </c>
      <c r="O7" s="239">
        <v>7720593</v>
      </c>
      <c r="P7" s="241" t="s">
        <v>296</v>
      </c>
    </row>
    <row r="8" spans="1:16" ht="30" customHeight="1" x14ac:dyDescent="0.3">
      <c r="A8" s="233">
        <v>3109</v>
      </c>
      <c r="B8" s="233" t="s">
        <v>122</v>
      </c>
      <c r="C8" s="233" t="s">
        <v>75</v>
      </c>
      <c r="D8" s="233">
        <v>3109</v>
      </c>
      <c r="E8" s="233">
        <v>2026</v>
      </c>
      <c r="F8" s="233" t="s">
        <v>275</v>
      </c>
      <c r="G8" s="233">
        <v>2</v>
      </c>
      <c r="H8" s="233">
        <v>6</v>
      </c>
      <c r="I8" s="233" t="s">
        <v>703</v>
      </c>
      <c r="J8" s="64">
        <v>23835319.469999999</v>
      </c>
      <c r="K8" s="234">
        <v>12551289.470000001</v>
      </c>
      <c r="L8" s="236" t="s">
        <v>298</v>
      </c>
      <c r="M8" s="234">
        <v>11284030</v>
      </c>
      <c r="N8" s="236" t="s">
        <v>298</v>
      </c>
      <c r="O8" s="234">
        <v>0</v>
      </c>
      <c r="P8" s="236"/>
    </row>
    <row r="9" spans="1:16" ht="30" customHeight="1" x14ac:dyDescent="0.3">
      <c r="A9" s="238">
        <v>11810</v>
      </c>
      <c r="B9" s="238" t="s">
        <v>126</v>
      </c>
      <c r="C9" s="238" t="s">
        <v>83</v>
      </c>
      <c r="D9" s="238">
        <v>3109</v>
      </c>
      <c r="E9" s="238">
        <v>2026</v>
      </c>
      <c r="F9" s="238" t="s">
        <v>275</v>
      </c>
      <c r="G9" s="238">
        <v>2</v>
      </c>
      <c r="H9" s="238">
        <v>6</v>
      </c>
      <c r="I9" s="238" t="s">
        <v>703</v>
      </c>
      <c r="J9" s="94">
        <v>384202.5</v>
      </c>
      <c r="K9" s="239">
        <v>84101.25</v>
      </c>
      <c r="L9" s="241" t="s">
        <v>298</v>
      </c>
      <c r="M9" s="239">
        <v>300101.25</v>
      </c>
      <c r="N9" s="241" t="s">
        <v>298</v>
      </c>
      <c r="O9" s="239">
        <v>0</v>
      </c>
      <c r="P9" s="241"/>
    </row>
    <row r="10" spans="1:16" ht="30" customHeight="1" x14ac:dyDescent="0.3">
      <c r="A10" s="233">
        <v>40</v>
      </c>
      <c r="B10" s="233" t="s">
        <v>125</v>
      </c>
      <c r="C10" s="233" t="s">
        <v>77</v>
      </c>
      <c r="D10" s="233">
        <v>3109</v>
      </c>
      <c r="E10" s="233">
        <v>2026</v>
      </c>
      <c r="F10" s="233" t="s">
        <v>275</v>
      </c>
      <c r="G10" s="233">
        <v>2</v>
      </c>
      <c r="H10" s="233">
        <v>6</v>
      </c>
      <c r="I10" s="233" t="s">
        <v>703</v>
      </c>
      <c r="J10" s="64">
        <v>5325997</v>
      </c>
      <c r="K10" s="234">
        <v>3522649</v>
      </c>
      <c r="L10" s="236" t="s">
        <v>298</v>
      </c>
      <c r="M10" s="234">
        <v>1803348</v>
      </c>
      <c r="N10" s="236" t="s">
        <v>298</v>
      </c>
      <c r="O10" s="234">
        <v>0</v>
      </c>
      <c r="P10" s="236"/>
    </row>
    <row r="11" spans="1:16" ht="30" customHeight="1" x14ac:dyDescent="0.3">
      <c r="A11" s="238">
        <v>39</v>
      </c>
      <c r="B11" s="238" t="s">
        <v>124</v>
      </c>
      <c r="C11" s="238" t="s">
        <v>77</v>
      </c>
      <c r="D11" s="238">
        <v>3109</v>
      </c>
      <c r="E11" s="238">
        <v>2026</v>
      </c>
      <c r="F11" s="238" t="s">
        <v>275</v>
      </c>
      <c r="G11" s="238">
        <v>2</v>
      </c>
      <c r="H11" s="238">
        <v>6</v>
      </c>
      <c r="I11" s="238" t="s">
        <v>703</v>
      </c>
      <c r="J11" s="94">
        <v>13794143.859999999</v>
      </c>
      <c r="K11" s="239">
        <v>7086353.54</v>
      </c>
      <c r="L11" s="241" t="s">
        <v>298</v>
      </c>
      <c r="M11" s="239">
        <v>6707790.3200000003</v>
      </c>
      <c r="N11" s="241" t="s">
        <v>298</v>
      </c>
      <c r="O11" s="239">
        <v>0</v>
      </c>
      <c r="P11" s="241"/>
    </row>
    <row r="12" spans="1:16" ht="30" customHeight="1" x14ac:dyDescent="0.3">
      <c r="A12" s="233">
        <v>9323</v>
      </c>
      <c r="B12" s="233" t="s">
        <v>152</v>
      </c>
      <c r="C12" s="233" t="s">
        <v>83</v>
      </c>
      <c r="D12" s="233">
        <v>3791</v>
      </c>
      <c r="E12" s="233">
        <v>2026</v>
      </c>
      <c r="F12" s="233" t="s">
        <v>275</v>
      </c>
      <c r="G12" s="233">
        <v>2</v>
      </c>
      <c r="H12" s="233">
        <v>6</v>
      </c>
      <c r="I12" s="233" t="s">
        <v>703</v>
      </c>
      <c r="J12" s="64">
        <v>819707.5</v>
      </c>
      <c r="K12" s="234">
        <v>67750</v>
      </c>
      <c r="L12" s="236" t="s">
        <v>298</v>
      </c>
      <c r="M12" s="234">
        <v>0</v>
      </c>
      <c r="N12" s="236" t="s">
        <v>298</v>
      </c>
      <c r="O12" s="234">
        <v>751957.5</v>
      </c>
      <c r="P12" s="236" t="s">
        <v>298</v>
      </c>
    </row>
    <row r="13" spans="1:16" ht="30" customHeight="1" x14ac:dyDescent="0.3">
      <c r="A13" s="238">
        <v>14423</v>
      </c>
      <c r="B13" s="238" t="s">
        <v>153</v>
      </c>
      <c r="C13" s="238" t="s">
        <v>83</v>
      </c>
      <c r="D13" s="238">
        <v>3791</v>
      </c>
      <c r="E13" s="238">
        <v>2026</v>
      </c>
      <c r="F13" s="238" t="s">
        <v>275</v>
      </c>
      <c r="G13" s="238">
        <v>2</v>
      </c>
      <c r="H13" s="238">
        <v>6</v>
      </c>
      <c r="I13" s="238" t="s">
        <v>703</v>
      </c>
      <c r="J13" s="94">
        <v>3772339</v>
      </c>
      <c r="K13" s="239">
        <v>3330222</v>
      </c>
      <c r="L13" s="241" t="s">
        <v>298</v>
      </c>
      <c r="M13" s="239">
        <v>21423</v>
      </c>
      <c r="N13" s="241" t="s">
        <v>298</v>
      </c>
      <c r="O13" s="239">
        <v>420694</v>
      </c>
      <c r="P13" s="241" t="s">
        <v>298</v>
      </c>
    </row>
    <row r="14" spans="1:16" ht="30" customHeight="1" x14ac:dyDescent="0.3">
      <c r="A14" s="233">
        <v>59</v>
      </c>
      <c r="B14" s="233" t="s">
        <v>142</v>
      </c>
      <c r="C14" s="233" t="s">
        <v>77</v>
      </c>
      <c r="D14" s="233">
        <v>3791</v>
      </c>
      <c r="E14" s="233">
        <v>2026</v>
      </c>
      <c r="F14" s="233" t="s">
        <v>275</v>
      </c>
      <c r="G14" s="233">
        <v>2</v>
      </c>
      <c r="H14" s="233">
        <v>6</v>
      </c>
      <c r="I14" s="233" t="s">
        <v>703</v>
      </c>
      <c r="J14" s="64">
        <v>7381665.9206999997</v>
      </c>
      <c r="K14" s="234">
        <v>395797.0577</v>
      </c>
      <c r="L14" s="236" t="s">
        <v>298</v>
      </c>
      <c r="M14" s="234">
        <v>6985868.8629999999</v>
      </c>
      <c r="N14" s="236" t="s">
        <v>298</v>
      </c>
      <c r="O14" s="234">
        <v>0</v>
      </c>
      <c r="P14" s="236" t="s">
        <v>298</v>
      </c>
    </row>
    <row r="15" spans="1:16" ht="30" customHeight="1" x14ac:dyDescent="0.3">
      <c r="A15" s="238">
        <v>89</v>
      </c>
      <c r="B15" s="238" t="s">
        <v>146</v>
      </c>
      <c r="C15" s="238" t="s">
        <v>77</v>
      </c>
      <c r="D15" s="238">
        <v>3791</v>
      </c>
      <c r="E15" s="238">
        <v>2026</v>
      </c>
      <c r="F15" s="238" t="s">
        <v>275</v>
      </c>
      <c r="G15" s="238">
        <v>2</v>
      </c>
      <c r="H15" s="238">
        <v>6</v>
      </c>
      <c r="I15" s="238" t="s">
        <v>703</v>
      </c>
      <c r="J15" s="94">
        <v>2153246.4300000002</v>
      </c>
      <c r="K15" s="239">
        <v>858390.65</v>
      </c>
      <c r="L15" s="241" t="s">
        <v>298</v>
      </c>
      <c r="M15" s="239">
        <v>1294855.78</v>
      </c>
      <c r="N15" s="241" t="s">
        <v>298</v>
      </c>
      <c r="O15" s="239">
        <v>0</v>
      </c>
      <c r="P15" s="241" t="s">
        <v>298</v>
      </c>
    </row>
    <row r="16" spans="1:16" ht="30" customHeight="1" x14ac:dyDescent="0.3">
      <c r="A16" s="233">
        <v>105</v>
      </c>
      <c r="B16" s="233" t="s">
        <v>149</v>
      </c>
      <c r="C16" s="233" t="s">
        <v>77</v>
      </c>
      <c r="D16" s="233">
        <v>3791</v>
      </c>
      <c r="E16" s="233">
        <v>2026</v>
      </c>
      <c r="F16" s="233" t="s">
        <v>275</v>
      </c>
      <c r="G16" s="233">
        <v>2</v>
      </c>
      <c r="H16" s="233">
        <v>6</v>
      </c>
      <c r="I16" s="233" t="s">
        <v>703</v>
      </c>
      <c r="J16" s="64">
        <v>7575036.9600000009</v>
      </c>
      <c r="K16" s="234">
        <v>1274378.06</v>
      </c>
      <c r="L16" s="236" t="s">
        <v>298</v>
      </c>
      <c r="M16" s="234">
        <v>6300658.9000000004</v>
      </c>
      <c r="N16" s="236" t="s">
        <v>298</v>
      </c>
      <c r="O16" s="234">
        <v>0</v>
      </c>
      <c r="P16" s="236" t="s">
        <v>298</v>
      </c>
    </row>
    <row r="17" spans="1:16" ht="30" customHeight="1" x14ac:dyDescent="0.3">
      <c r="A17" s="238">
        <v>8644</v>
      </c>
      <c r="B17" s="238" t="s">
        <v>156</v>
      </c>
      <c r="C17" s="238" t="s">
        <v>83</v>
      </c>
      <c r="D17" s="238">
        <v>3791</v>
      </c>
      <c r="E17" s="238">
        <v>2026</v>
      </c>
      <c r="F17" s="238" t="s">
        <v>275</v>
      </c>
      <c r="G17" s="238">
        <v>2</v>
      </c>
      <c r="H17" s="238">
        <v>6</v>
      </c>
      <c r="I17" s="238" t="s">
        <v>703</v>
      </c>
      <c r="J17" s="94">
        <v>279567.31</v>
      </c>
      <c r="K17" s="239">
        <v>0</v>
      </c>
      <c r="L17" s="241" t="s">
        <v>298</v>
      </c>
      <c r="M17" s="239">
        <v>279567.31</v>
      </c>
      <c r="N17" s="241" t="s">
        <v>298</v>
      </c>
      <c r="O17" s="239">
        <v>0</v>
      </c>
      <c r="P17" s="241" t="s">
        <v>298</v>
      </c>
    </row>
    <row r="18" spans="1:16" ht="30" customHeight="1" x14ac:dyDescent="0.3">
      <c r="A18" s="233">
        <v>22</v>
      </c>
      <c r="B18" s="233" t="s">
        <v>143</v>
      </c>
      <c r="C18" s="233" t="s">
        <v>77</v>
      </c>
      <c r="D18" s="233">
        <v>3791</v>
      </c>
      <c r="E18" s="233">
        <v>2026</v>
      </c>
      <c r="F18" s="233" t="s">
        <v>275</v>
      </c>
      <c r="G18" s="233">
        <v>2</v>
      </c>
      <c r="H18" s="233">
        <v>6</v>
      </c>
      <c r="I18" s="233" t="s">
        <v>703</v>
      </c>
      <c r="J18" s="64">
        <v>19102333.2742</v>
      </c>
      <c r="K18" s="234">
        <v>3838878.8678000001</v>
      </c>
      <c r="L18" s="236" t="s">
        <v>298</v>
      </c>
      <c r="M18" s="234">
        <v>15263454.406400001</v>
      </c>
      <c r="N18" s="236" t="s">
        <v>298</v>
      </c>
      <c r="O18" s="234">
        <v>0</v>
      </c>
      <c r="P18" s="236" t="s">
        <v>298</v>
      </c>
    </row>
    <row r="19" spans="1:16" ht="30" customHeight="1" x14ac:dyDescent="0.3">
      <c r="A19" s="238">
        <v>10996</v>
      </c>
      <c r="B19" s="238" t="s">
        <v>151</v>
      </c>
      <c r="C19" s="238" t="s">
        <v>83</v>
      </c>
      <c r="D19" s="238">
        <v>3791</v>
      </c>
      <c r="E19" s="238">
        <v>2026</v>
      </c>
      <c r="F19" s="238" t="s">
        <v>275</v>
      </c>
      <c r="G19" s="238">
        <v>2</v>
      </c>
      <c r="H19" s="238">
        <v>6</v>
      </c>
      <c r="I19" s="238" t="s">
        <v>703</v>
      </c>
      <c r="J19" s="94">
        <v>5311898.5199999996</v>
      </c>
      <c r="K19" s="239">
        <v>4739913.59</v>
      </c>
      <c r="L19" s="241" t="s">
        <v>298</v>
      </c>
      <c r="M19" s="239">
        <v>571984.93000000005</v>
      </c>
      <c r="N19" s="241" t="s">
        <v>298</v>
      </c>
      <c r="O19" s="239">
        <v>0</v>
      </c>
      <c r="P19" s="241" t="s">
        <v>298</v>
      </c>
    </row>
    <row r="20" spans="1:16" ht="30" customHeight="1" x14ac:dyDescent="0.3">
      <c r="A20" s="233">
        <v>345</v>
      </c>
      <c r="B20" s="233" t="s">
        <v>150</v>
      </c>
      <c r="C20" s="233" t="s">
        <v>77</v>
      </c>
      <c r="D20" s="233">
        <v>3791</v>
      </c>
      <c r="E20" s="233">
        <v>2026</v>
      </c>
      <c r="F20" s="233" t="s">
        <v>275</v>
      </c>
      <c r="G20" s="233">
        <v>2</v>
      </c>
      <c r="H20" s="233">
        <v>6</v>
      </c>
      <c r="I20" s="233" t="s">
        <v>703</v>
      </c>
      <c r="J20" s="64">
        <v>8796531.4299999997</v>
      </c>
      <c r="K20" s="234">
        <v>5676902.1699999999</v>
      </c>
      <c r="L20" s="236" t="s">
        <v>298</v>
      </c>
      <c r="M20" s="234">
        <v>3119629.26</v>
      </c>
      <c r="N20" s="236" t="s">
        <v>298</v>
      </c>
      <c r="O20" s="234">
        <v>0</v>
      </c>
      <c r="P20" s="236" t="s">
        <v>298</v>
      </c>
    </row>
    <row r="21" spans="1:16" ht="30" customHeight="1" x14ac:dyDescent="0.3">
      <c r="A21" s="238">
        <v>101</v>
      </c>
      <c r="B21" s="238" t="s">
        <v>148</v>
      </c>
      <c r="C21" s="238" t="s">
        <v>77</v>
      </c>
      <c r="D21" s="238">
        <v>3791</v>
      </c>
      <c r="E21" s="238">
        <v>2026</v>
      </c>
      <c r="F21" s="238" t="s">
        <v>275</v>
      </c>
      <c r="G21" s="238">
        <v>2</v>
      </c>
      <c r="H21" s="238">
        <v>6</v>
      </c>
      <c r="I21" s="238" t="s">
        <v>703</v>
      </c>
      <c r="J21" s="94">
        <v>4458897.1160000004</v>
      </c>
      <c r="K21" s="239">
        <v>1672397.34</v>
      </c>
      <c r="L21" s="241" t="s">
        <v>298</v>
      </c>
      <c r="M21" s="239">
        <v>1750943.5160000001</v>
      </c>
      <c r="N21" s="241" t="s">
        <v>298</v>
      </c>
      <c r="O21" s="239">
        <v>1035556.26</v>
      </c>
      <c r="P21" s="241" t="s">
        <v>298</v>
      </c>
    </row>
    <row r="22" spans="1:16" ht="30" customHeight="1" x14ac:dyDescent="0.3">
      <c r="A22" s="233">
        <v>16579</v>
      </c>
      <c r="B22" s="233" t="s">
        <v>155</v>
      </c>
      <c r="C22" s="233" t="s">
        <v>83</v>
      </c>
      <c r="D22" s="233">
        <v>3791</v>
      </c>
      <c r="E22" s="233">
        <v>2026</v>
      </c>
      <c r="F22" s="233" t="s">
        <v>275</v>
      </c>
      <c r="G22" s="233">
        <v>2</v>
      </c>
      <c r="H22" s="233">
        <v>6</v>
      </c>
      <c r="I22" s="233" t="s">
        <v>703</v>
      </c>
      <c r="J22" s="64">
        <v>0</v>
      </c>
      <c r="K22" s="234">
        <v>0</v>
      </c>
      <c r="L22" s="236" t="s">
        <v>298</v>
      </c>
      <c r="M22" s="234">
        <v>0</v>
      </c>
      <c r="N22" s="236" t="s">
        <v>298</v>
      </c>
      <c r="O22" s="234">
        <v>0</v>
      </c>
      <c r="P22" s="236" t="s">
        <v>298</v>
      </c>
    </row>
    <row r="23" spans="1:16" ht="30" customHeight="1" x14ac:dyDescent="0.3">
      <c r="A23" s="238">
        <v>91</v>
      </c>
      <c r="B23" s="238" t="s">
        <v>147</v>
      </c>
      <c r="C23" s="238" t="s">
        <v>77</v>
      </c>
      <c r="D23" s="238">
        <v>3791</v>
      </c>
      <c r="E23" s="238">
        <v>2026</v>
      </c>
      <c r="F23" s="238" t="s">
        <v>275</v>
      </c>
      <c r="G23" s="238">
        <v>2</v>
      </c>
      <c r="H23" s="238">
        <v>6</v>
      </c>
      <c r="I23" s="238" t="s">
        <v>703</v>
      </c>
      <c r="J23" s="94">
        <v>20799624.240000021</v>
      </c>
      <c r="K23" s="239">
        <v>5839797.3800000204</v>
      </c>
      <c r="L23" s="241" t="s">
        <v>298</v>
      </c>
      <c r="M23" s="239">
        <v>14959826.859999999</v>
      </c>
      <c r="N23" s="241" t="s">
        <v>298</v>
      </c>
      <c r="O23" s="239">
        <v>0</v>
      </c>
      <c r="P23" s="241" t="s">
        <v>298</v>
      </c>
    </row>
    <row r="24" spans="1:16" ht="30" customHeight="1" x14ac:dyDescent="0.3">
      <c r="A24" s="233">
        <v>11002</v>
      </c>
      <c r="B24" s="233" t="s">
        <v>154</v>
      </c>
      <c r="C24" s="233" t="s">
        <v>83</v>
      </c>
      <c r="D24" s="233">
        <v>3791</v>
      </c>
      <c r="E24" s="233">
        <v>2026</v>
      </c>
      <c r="F24" s="233" t="s">
        <v>275</v>
      </c>
      <c r="G24" s="233">
        <v>2</v>
      </c>
      <c r="H24" s="233">
        <v>6</v>
      </c>
      <c r="I24" s="233" t="s">
        <v>703</v>
      </c>
      <c r="J24" s="64">
        <v>2867057.54</v>
      </c>
      <c r="K24" s="234">
        <v>664274.25</v>
      </c>
      <c r="L24" s="236" t="s">
        <v>298</v>
      </c>
      <c r="M24" s="234">
        <v>1393070.03</v>
      </c>
      <c r="N24" s="236" t="s">
        <v>298</v>
      </c>
      <c r="O24" s="234">
        <v>809713.26</v>
      </c>
      <c r="P24" s="236" t="s">
        <v>298</v>
      </c>
    </row>
    <row r="25" spans="1:16" ht="30" customHeight="1" x14ac:dyDescent="0.3">
      <c r="A25" s="238">
        <v>50</v>
      </c>
      <c r="B25" s="238" t="s">
        <v>144</v>
      </c>
      <c r="C25" s="238" t="s">
        <v>77</v>
      </c>
      <c r="D25" s="238">
        <v>3791</v>
      </c>
      <c r="E25" s="238">
        <v>2026</v>
      </c>
      <c r="F25" s="238" t="s">
        <v>275</v>
      </c>
      <c r="G25" s="238">
        <v>2</v>
      </c>
      <c r="H25" s="238">
        <v>6</v>
      </c>
      <c r="I25" s="238" t="s">
        <v>703</v>
      </c>
      <c r="J25" s="94">
        <v>3013477.5663532396</v>
      </c>
      <c r="K25" s="239">
        <v>1653065.1120507601</v>
      </c>
      <c r="L25" s="241" t="s">
        <v>298</v>
      </c>
      <c r="M25" s="239">
        <v>1264884.17430248</v>
      </c>
      <c r="N25" s="241" t="s">
        <v>298</v>
      </c>
      <c r="O25" s="239">
        <v>95528.28</v>
      </c>
      <c r="P25" s="241" t="s">
        <v>298</v>
      </c>
    </row>
    <row r="26" spans="1:16" ht="30" customHeight="1" x14ac:dyDescent="0.3">
      <c r="A26" s="233">
        <v>88</v>
      </c>
      <c r="B26" s="233" t="s">
        <v>145</v>
      </c>
      <c r="C26" s="233" t="s">
        <v>77</v>
      </c>
      <c r="D26" s="233">
        <v>3791</v>
      </c>
      <c r="E26" s="233">
        <v>2026</v>
      </c>
      <c r="F26" s="233" t="s">
        <v>275</v>
      </c>
      <c r="G26" s="233">
        <v>2</v>
      </c>
      <c r="H26" s="233">
        <v>6</v>
      </c>
      <c r="I26" s="233" t="s">
        <v>703</v>
      </c>
      <c r="J26" s="64">
        <v>5623774.8100000005</v>
      </c>
      <c r="K26" s="234">
        <v>2141447.0099999998</v>
      </c>
      <c r="L26" s="236" t="s">
        <v>298</v>
      </c>
      <c r="M26" s="234">
        <v>3142985.65</v>
      </c>
      <c r="N26" s="236" t="s">
        <v>298</v>
      </c>
      <c r="O26" s="234">
        <v>339342.15</v>
      </c>
      <c r="P26" s="236" t="s">
        <v>298</v>
      </c>
    </row>
    <row r="27" spans="1:16" ht="30" customHeight="1" x14ac:dyDescent="0.3">
      <c r="A27" s="238">
        <v>3791</v>
      </c>
      <c r="B27" s="238" t="s">
        <v>141</v>
      </c>
      <c r="C27" s="238" t="s">
        <v>75</v>
      </c>
      <c r="D27" s="238">
        <v>3791</v>
      </c>
      <c r="E27" s="238">
        <v>2026</v>
      </c>
      <c r="F27" s="238" t="s">
        <v>275</v>
      </c>
      <c r="G27" s="238">
        <v>2</v>
      </c>
      <c r="H27" s="238">
        <v>6</v>
      </c>
      <c r="I27" s="238" t="s">
        <v>703</v>
      </c>
      <c r="J27" s="94">
        <v>101827662.6832533</v>
      </c>
      <c r="K27" s="239">
        <v>34003632.447550803</v>
      </c>
      <c r="L27" s="241" t="s">
        <v>298</v>
      </c>
      <c r="M27" s="239">
        <v>59199581.519702502</v>
      </c>
      <c r="N27" s="241" t="s">
        <v>298</v>
      </c>
      <c r="O27" s="239">
        <v>8624448.716</v>
      </c>
      <c r="P27" s="241" t="s">
        <v>298</v>
      </c>
    </row>
    <row r="28" spans="1:16" ht="30" customHeight="1" x14ac:dyDescent="0.3">
      <c r="A28" s="233">
        <v>8745</v>
      </c>
      <c r="B28" s="233" t="s">
        <v>158</v>
      </c>
      <c r="C28" s="233" t="s">
        <v>83</v>
      </c>
      <c r="D28" s="233">
        <v>3791</v>
      </c>
      <c r="E28" s="233">
        <v>2026</v>
      </c>
      <c r="F28" s="233" t="s">
        <v>275</v>
      </c>
      <c r="G28" s="233">
        <v>2</v>
      </c>
      <c r="H28" s="233">
        <v>6</v>
      </c>
      <c r="I28" s="233" t="s">
        <v>703</v>
      </c>
      <c r="J28" s="64">
        <v>68841.95</v>
      </c>
      <c r="K28" s="234">
        <v>0</v>
      </c>
      <c r="L28" s="236" t="s">
        <v>298</v>
      </c>
      <c r="M28" s="234">
        <v>68841.95</v>
      </c>
      <c r="N28" s="236" t="s">
        <v>298</v>
      </c>
      <c r="O28" s="234">
        <v>0</v>
      </c>
      <c r="P28" s="236" t="s">
        <v>298</v>
      </c>
    </row>
    <row r="29" spans="1:16" ht="30" customHeight="1" x14ac:dyDescent="0.3">
      <c r="A29" s="238">
        <v>11004</v>
      </c>
      <c r="B29" s="238" t="s">
        <v>157</v>
      </c>
      <c r="C29" s="238" t="s">
        <v>83</v>
      </c>
      <c r="D29" s="238">
        <v>3791</v>
      </c>
      <c r="E29" s="238">
        <v>2026</v>
      </c>
      <c r="F29" s="238" t="s">
        <v>275</v>
      </c>
      <c r="G29" s="238">
        <v>2</v>
      </c>
      <c r="H29" s="238">
        <v>6</v>
      </c>
      <c r="I29" s="238" t="s">
        <v>703</v>
      </c>
      <c r="J29" s="94">
        <v>2386283.52</v>
      </c>
      <c r="K29" s="239">
        <v>37394.07</v>
      </c>
      <c r="L29" s="241" t="s">
        <v>298</v>
      </c>
      <c r="M29" s="239">
        <v>72936.149999999994</v>
      </c>
      <c r="N29" s="241" t="s">
        <v>298</v>
      </c>
      <c r="O29" s="239">
        <v>2275953.2999999998</v>
      </c>
      <c r="P29" s="241" t="s">
        <v>298</v>
      </c>
    </row>
    <row r="30" spans="1:16" ht="30" customHeight="1" x14ac:dyDescent="0.3">
      <c r="A30" s="233">
        <v>11394</v>
      </c>
      <c r="B30" s="233" t="s">
        <v>616</v>
      </c>
      <c r="C30" s="233" t="s">
        <v>83</v>
      </c>
      <c r="D30" s="233">
        <v>3888</v>
      </c>
      <c r="E30" s="233">
        <v>2026</v>
      </c>
      <c r="F30" s="233" t="s">
        <v>630</v>
      </c>
      <c r="G30" s="233">
        <v>1</v>
      </c>
      <c r="H30" s="233">
        <v>3</v>
      </c>
      <c r="I30" s="233" t="s">
        <v>704</v>
      </c>
      <c r="J30" s="64">
        <v>354797</v>
      </c>
      <c r="K30" s="234">
        <v>0</v>
      </c>
      <c r="L30" s="236"/>
      <c r="M30" s="234">
        <v>354797</v>
      </c>
      <c r="N30" s="236" t="s">
        <v>298</v>
      </c>
      <c r="O30" s="234">
        <v>0</v>
      </c>
      <c r="P30" s="236"/>
    </row>
    <row r="31" spans="1:16" ht="30" customHeight="1" x14ac:dyDescent="0.3">
      <c r="A31" s="238">
        <v>3110</v>
      </c>
      <c r="B31" s="238" t="s">
        <v>508</v>
      </c>
      <c r="C31" s="238" t="s">
        <v>77</v>
      </c>
      <c r="D31" s="238">
        <v>3888</v>
      </c>
      <c r="E31" s="238">
        <v>2026</v>
      </c>
      <c r="F31" s="238" t="s">
        <v>630</v>
      </c>
      <c r="G31" s="238">
        <v>1</v>
      </c>
      <c r="H31" s="238">
        <v>3</v>
      </c>
      <c r="I31" s="238" t="s">
        <v>704</v>
      </c>
      <c r="J31" s="94">
        <v>675431.2</v>
      </c>
      <c r="K31" s="239">
        <v>332712.99</v>
      </c>
      <c r="L31" s="241" t="s">
        <v>298</v>
      </c>
      <c r="M31" s="239">
        <v>218021.21</v>
      </c>
      <c r="N31" s="241" t="s">
        <v>298</v>
      </c>
      <c r="O31" s="239">
        <v>124697</v>
      </c>
      <c r="P31" s="241" t="s">
        <v>296</v>
      </c>
    </row>
    <row r="32" spans="1:16" ht="30" customHeight="1" x14ac:dyDescent="0.3">
      <c r="A32" s="233">
        <v>127</v>
      </c>
      <c r="B32" s="233" t="s">
        <v>542</v>
      </c>
      <c r="C32" s="233" t="s">
        <v>77</v>
      </c>
      <c r="D32" s="233">
        <v>3888</v>
      </c>
      <c r="E32" s="233">
        <v>2026</v>
      </c>
      <c r="F32" s="233" t="s">
        <v>630</v>
      </c>
      <c r="G32" s="233">
        <v>1</v>
      </c>
      <c r="H32" s="233">
        <v>3</v>
      </c>
      <c r="I32" s="233" t="s">
        <v>704</v>
      </c>
      <c r="J32" s="64">
        <v>2207161.9</v>
      </c>
      <c r="K32" s="234">
        <v>762125.88</v>
      </c>
      <c r="L32" s="236" t="s">
        <v>298</v>
      </c>
      <c r="M32" s="234">
        <v>501997.94</v>
      </c>
      <c r="N32" s="236" t="s">
        <v>298</v>
      </c>
      <c r="O32" s="234">
        <v>943038.08</v>
      </c>
      <c r="P32" s="236" t="s">
        <v>296</v>
      </c>
    </row>
    <row r="33" spans="1:16" ht="30" customHeight="1" x14ac:dyDescent="0.3">
      <c r="A33" s="238">
        <v>14427</v>
      </c>
      <c r="B33" s="238" t="s">
        <v>617</v>
      </c>
      <c r="C33" s="238" t="s">
        <v>83</v>
      </c>
      <c r="D33" s="238">
        <v>3888</v>
      </c>
      <c r="E33" s="238">
        <v>2026</v>
      </c>
      <c r="F33" s="238" t="s">
        <v>630</v>
      </c>
      <c r="G33" s="238">
        <v>1</v>
      </c>
      <c r="H33" s="238">
        <v>3</v>
      </c>
      <c r="I33" s="238" t="s">
        <v>704</v>
      </c>
      <c r="J33" s="94">
        <v>-2731</v>
      </c>
      <c r="K33" s="239">
        <v>0</v>
      </c>
      <c r="L33" s="241"/>
      <c r="M33" s="239">
        <v>-2731</v>
      </c>
      <c r="N33" s="241" t="s">
        <v>298</v>
      </c>
      <c r="O33" s="239">
        <v>0</v>
      </c>
      <c r="P33" s="241"/>
    </row>
    <row r="34" spans="1:16" ht="30" customHeight="1" x14ac:dyDescent="0.3">
      <c r="A34" s="233">
        <v>3888</v>
      </c>
      <c r="B34" s="233" t="s">
        <v>615</v>
      </c>
      <c r="C34" s="233" t="s">
        <v>75</v>
      </c>
      <c r="D34" s="233">
        <v>3888</v>
      </c>
      <c r="E34" s="233">
        <v>2026</v>
      </c>
      <c r="F34" s="233" t="s">
        <v>630</v>
      </c>
      <c r="G34" s="233">
        <v>1</v>
      </c>
      <c r="H34" s="233">
        <v>3</v>
      </c>
      <c r="I34" s="233" t="s">
        <v>704</v>
      </c>
      <c r="J34" s="64">
        <v>3234659.1</v>
      </c>
      <c r="K34" s="234">
        <v>1094838.8700000001</v>
      </c>
      <c r="L34" s="236" t="s">
        <v>298</v>
      </c>
      <c r="M34" s="234">
        <v>1072085.1499999999</v>
      </c>
      <c r="N34" s="236" t="s">
        <v>298</v>
      </c>
      <c r="O34" s="234">
        <v>1067735.08</v>
      </c>
      <c r="P34" s="236" t="s">
        <v>296</v>
      </c>
    </row>
    <row r="35" spans="1:16" ht="30" customHeight="1" x14ac:dyDescent="0.3">
      <c r="A35" s="238">
        <v>3113</v>
      </c>
      <c r="B35" s="238" t="s">
        <v>171</v>
      </c>
      <c r="C35" s="238" t="s">
        <v>77</v>
      </c>
      <c r="D35" s="238">
        <v>4027</v>
      </c>
      <c r="E35" s="238">
        <v>2026</v>
      </c>
      <c r="F35" s="238" t="s">
        <v>275</v>
      </c>
      <c r="G35" s="238">
        <v>2</v>
      </c>
      <c r="H35" s="238">
        <v>6</v>
      </c>
      <c r="I35" s="238" t="s">
        <v>703</v>
      </c>
      <c r="J35" s="94">
        <v>10750099.470316865</v>
      </c>
      <c r="K35" s="239">
        <v>4843380.0099999905</v>
      </c>
      <c r="L35" s="241" t="s">
        <v>298</v>
      </c>
      <c r="M35" s="239">
        <v>494771.86031687498</v>
      </c>
      <c r="N35" s="241" t="s">
        <v>298</v>
      </c>
      <c r="O35" s="239">
        <v>5411947.5999999996</v>
      </c>
      <c r="P35" s="241" t="s">
        <v>296</v>
      </c>
    </row>
    <row r="36" spans="1:16" ht="30" customHeight="1" x14ac:dyDescent="0.3">
      <c r="A36" s="233">
        <v>4027</v>
      </c>
      <c r="B36" s="233" t="s">
        <v>170</v>
      </c>
      <c r="C36" s="233" t="s">
        <v>75</v>
      </c>
      <c r="D36" s="233">
        <v>4027</v>
      </c>
      <c r="E36" s="233">
        <v>2026</v>
      </c>
      <c r="F36" s="233" t="s">
        <v>275</v>
      </c>
      <c r="G36" s="233">
        <v>2</v>
      </c>
      <c r="H36" s="233">
        <v>6</v>
      </c>
      <c r="I36" s="233" t="s">
        <v>703</v>
      </c>
      <c r="J36" s="64">
        <v>17146688.000316866</v>
      </c>
      <c r="K36" s="234">
        <v>4855393.9099999899</v>
      </c>
      <c r="L36" s="236" t="s">
        <v>298</v>
      </c>
      <c r="M36" s="234">
        <v>779426.06031687499</v>
      </c>
      <c r="N36" s="236" t="s">
        <v>298</v>
      </c>
      <c r="O36" s="234">
        <v>11511868.029999999</v>
      </c>
      <c r="P36" s="236" t="s">
        <v>296</v>
      </c>
    </row>
    <row r="37" spans="1:16" ht="30" customHeight="1" x14ac:dyDescent="0.3">
      <c r="A37" s="238">
        <v>11497</v>
      </c>
      <c r="B37" s="238" t="s">
        <v>172</v>
      </c>
      <c r="C37" s="238" t="s">
        <v>83</v>
      </c>
      <c r="D37" s="238">
        <v>4027</v>
      </c>
      <c r="E37" s="238">
        <v>2026</v>
      </c>
      <c r="F37" s="238" t="s">
        <v>275</v>
      </c>
      <c r="G37" s="238">
        <v>2</v>
      </c>
      <c r="H37" s="238">
        <v>6</v>
      </c>
      <c r="I37" s="238" t="s">
        <v>703</v>
      </c>
      <c r="J37" s="94">
        <v>6384574.6299999999</v>
      </c>
      <c r="K37" s="239">
        <v>0</v>
      </c>
      <c r="L37" s="241" t="s">
        <v>298</v>
      </c>
      <c r="M37" s="239">
        <v>284654.2</v>
      </c>
      <c r="N37" s="241" t="s">
        <v>298</v>
      </c>
      <c r="O37" s="239">
        <v>6099920.4299999997</v>
      </c>
      <c r="P37" s="241" t="s">
        <v>296</v>
      </c>
    </row>
    <row r="38" spans="1:16" ht="30" customHeight="1" x14ac:dyDescent="0.3">
      <c r="A38" s="233">
        <v>6755</v>
      </c>
      <c r="B38" s="233" t="s">
        <v>197</v>
      </c>
      <c r="C38" s="233" t="s">
        <v>75</v>
      </c>
      <c r="D38" s="233">
        <v>6755</v>
      </c>
      <c r="E38" s="233">
        <v>2026</v>
      </c>
      <c r="F38" s="233" t="s">
        <v>275</v>
      </c>
      <c r="G38" s="233">
        <v>2</v>
      </c>
      <c r="H38" s="233">
        <v>6</v>
      </c>
      <c r="I38" s="233" t="s">
        <v>703</v>
      </c>
      <c r="J38" s="64">
        <v>211505.23</v>
      </c>
      <c r="K38" s="234">
        <v>1350</v>
      </c>
      <c r="L38" s="236"/>
      <c r="M38" s="234">
        <v>210155.23</v>
      </c>
      <c r="N38" s="236"/>
      <c r="O38" s="234">
        <v>0</v>
      </c>
      <c r="P38" s="236"/>
    </row>
    <row r="39" spans="1:16" ht="30" customHeight="1" x14ac:dyDescent="0.3">
      <c r="A39" s="238">
        <v>68</v>
      </c>
      <c r="B39" s="238" t="s">
        <v>198</v>
      </c>
      <c r="C39" s="238" t="s">
        <v>77</v>
      </c>
      <c r="D39" s="238">
        <v>6755</v>
      </c>
      <c r="E39" s="238">
        <v>2026</v>
      </c>
      <c r="F39" s="238" t="s">
        <v>275</v>
      </c>
      <c r="G39" s="238">
        <v>2</v>
      </c>
      <c r="H39" s="238">
        <v>6</v>
      </c>
      <c r="I39" s="238" t="s">
        <v>703</v>
      </c>
      <c r="J39" s="94">
        <v>836767.23</v>
      </c>
      <c r="K39" s="239">
        <v>568428.68999999994</v>
      </c>
      <c r="L39" s="241"/>
      <c r="M39" s="239">
        <v>268338.53999999998</v>
      </c>
      <c r="N39" s="241"/>
      <c r="O39" s="239">
        <v>0</v>
      </c>
      <c r="P39" s="241"/>
    </row>
    <row r="40" spans="1:16" ht="30" customHeight="1" x14ac:dyDescent="0.3">
      <c r="A40" s="233">
        <v>97</v>
      </c>
      <c r="B40" s="233" t="s">
        <v>159</v>
      </c>
      <c r="C40" s="233" t="s">
        <v>83</v>
      </c>
      <c r="D40" s="233">
        <v>6755</v>
      </c>
      <c r="E40" s="233">
        <v>2026</v>
      </c>
      <c r="F40" s="233" t="s">
        <v>275</v>
      </c>
      <c r="G40" s="233">
        <v>2</v>
      </c>
      <c r="H40" s="233">
        <v>6</v>
      </c>
      <c r="I40" s="233" t="s">
        <v>703</v>
      </c>
      <c r="J40" s="64">
        <v>1649543.96</v>
      </c>
      <c r="K40" s="234">
        <v>680825.31</v>
      </c>
      <c r="L40" s="236"/>
      <c r="M40" s="234">
        <v>968718.65</v>
      </c>
      <c r="N40" s="236"/>
      <c r="O40" s="234">
        <v>0</v>
      </c>
      <c r="P40" s="236"/>
    </row>
    <row r="41" spans="1:16" ht="30" customHeight="1" x14ac:dyDescent="0.3">
      <c r="A41" s="238">
        <v>3115</v>
      </c>
      <c r="B41" s="238" t="s">
        <v>201</v>
      </c>
      <c r="C41" s="238" t="s">
        <v>77</v>
      </c>
      <c r="D41" s="238">
        <v>6755</v>
      </c>
      <c r="E41" s="238">
        <v>2026</v>
      </c>
      <c r="F41" s="238" t="s">
        <v>275</v>
      </c>
      <c r="G41" s="238">
        <v>2</v>
      </c>
      <c r="H41" s="238">
        <v>6</v>
      </c>
      <c r="I41" s="238" t="s">
        <v>703</v>
      </c>
      <c r="J41" s="94">
        <v>16983992.780000001</v>
      </c>
      <c r="K41" s="239">
        <v>10950199.779999999</v>
      </c>
      <c r="L41" s="241"/>
      <c r="M41" s="239">
        <v>6033793</v>
      </c>
      <c r="N41" s="241"/>
      <c r="O41" s="239">
        <v>0</v>
      </c>
      <c r="P41" s="241"/>
    </row>
    <row r="42" spans="1:16" ht="30" customHeight="1" x14ac:dyDescent="0.3">
      <c r="A42" s="233">
        <v>9784</v>
      </c>
      <c r="B42" s="233" t="s">
        <v>202</v>
      </c>
      <c r="C42" s="233" t="s">
        <v>83</v>
      </c>
      <c r="D42" s="233">
        <v>6755</v>
      </c>
      <c r="E42" s="233">
        <v>2026</v>
      </c>
      <c r="F42" s="233" t="s">
        <v>275</v>
      </c>
      <c r="G42" s="233">
        <v>2</v>
      </c>
      <c r="H42" s="233">
        <v>6</v>
      </c>
      <c r="I42" s="233" t="s">
        <v>703</v>
      </c>
      <c r="J42" s="64">
        <v>41335.279999999999</v>
      </c>
      <c r="K42" s="234">
        <v>0</v>
      </c>
      <c r="L42" s="236"/>
      <c r="M42" s="234">
        <v>41335.279999999999</v>
      </c>
      <c r="N42" s="236"/>
      <c r="O42" s="234">
        <v>0</v>
      </c>
      <c r="P42" s="236"/>
    </row>
    <row r="43" spans="1:16" ht="30" customHeight="1" x14ac:dyDescent="0.3">
      <c r="A43" s="238">
        <v>133</v>
      </c>
      <c r="B43" s="238" t="s">
        <v>200</v>
      </c>
      <c r="C43" s="238" t="s">
        <v>77</v>
      </c>
      <c r="D43" s="238">
        <v>6755</v>
      </c>
      <c r="E43" s="238">
        <v>2026</v>
      </c>
      <c r="F43" s="238" t="s">
        <v>275</v>
      </c>
      <c r="G43" s="238">
        <v>2</v>
      </c>
      <c r="H43" s="238">
        <v>6</v>
      </c>
      <c r="I43" s="238" t="s">
        <v>703</v>
      </c>
      <c r="J43" s="94">
        <v>1758380.92</v>
      </c>
      <c r="K43" s="239">
        <v>1130177.29</v>
      </c>
      <c r="L43" s="241"/>
      <c r="M43" s="239">
        <v>628203.63</v>
      </c>
      <c r="N43" s="241"/>
      <c r="O43" s="239">
        <v>0</v>
      </c>
      <c r="P43" s="241"/>
    </row>
    <row r="44" spans="1:16" ht="30" customHeight="1" x14ac:dyDescent="0.3">
      <c r="A44" s="233">
        <v>14496</v>
      </c>
      <c r="B44" s="233" t="s">
        <v>199</v>
      </c>
      <c r="C44" s="233" t="s">
        <v>77</v>
      </c>
      <c r="D44" s="233">
        <v>6755</v>
      </c>
      <c r="E44" s="233">
        <v>2026</v>
      </c>
      <c r="F44" s="233" t="s">
        <v>275</v>
      </c>
      <c r="G44" s="233">
        <v>2</v>
      </c>
      <c r="H44" s="233">
        <v>6</v>
      </c>
      <c r="I44" s="233" t="s">
        <v>703</v>
      </c>
      <c r="J44" s="64">
        <v>5755763.7800000003</v>
      </c>
      <c r="K44" s="234">
        <v>3237532.16</v>
      </c>
      <c r="L44" s="236"/>
      <c r="M44" s="234">
        <v>2518231.62</v>
      </c>
      <c r="N44" s="236"/>
      <c r="O44" s="234">
        <v>0</v>
      </c>
      <c r="P44" s="236"/>
    </row>
    <row r="45" spans="1:16" ht="30" customHeight="1" x14ac:dyDescent="0.3">
      <c r="A45" s="238">
        <v>10327</v>
      </c>
      <c r="B45" s="238" t="s">
        <v>165</v>
      </c>
      <c r="C45" s="238" t="s">
        <v>83</v>
      </c>
      <c r="D45" s="238">
        <v>9991</v>
      </c>
      <c r="E45" s="238">
        <v>2026</v>
      </c>
      <c r="F45" s="238" t="s">
        <v>275</v>
      </c>
      <c r="G45" s="238">
        <v>2</v>
      </c>
      <c r="H45" s="238">
        <v>6</v>
      </c>
      <c r="I45" s="238" t="s">
        <v>703</v>
      </c>
      <c r="J45" s="94">
        <v>6450359</v>
      </c>
      <c r="K45" s="239">
        <v>0</v>
      </c>
      <c r="L45" s="241" t="s">
        <v>296</v>
      </c>
      <c r="M45" s="239">
        <v>0</v>
      </c>
      <c r="N45" s="241" t="s">
        <v>296</v>
      </c>
      <c r="O45" s="239">
        <v>6450359</v>
      </c>
      <c r="P45" s="241" t="s">
        <v>298</v>
      </c>
    </row>
    <row r="46" spans="1:16" ht="30" customHeight="1" x14ac:dyDescent="0.3">
      <c r="A46" s="233">
        <v>25</v>
      </c>
      <c r="B46" s="233" t="s">
        <v>164</v>
      </c>
      <c r="C46" s="233" t="s">
        <v>77</v>
      </c>
      <c r="D46" s="233">
        <v>9991</v>
      </c>
      <c r="E46" s="233">
        <v>2026</v>
      </c>
      <c r="F46" s="233" t="s">
        <v>275</v>
      </c>
      <c r="G46" s="233">
        <v>2</v>
      </c>
      <c r="H46" s="233">
        <v>6</v>
      </c>
      <c r="I46" s="233" t="s">
        <v>703</v>
      </c>
      <c r="J46" s="64">
        <v>27381064.27</v>
      </c>
      <c r="K46" s="234">
        <v>7841007.4800000004</v>
      </c>
      <c r="L46" s="236" t="s">
        <v>296</v>
      </c>
      <c r="M46" s="234">
        <v>1011362.79</v>
      </c>
      <c r="N46" s="236" t="s">
        <v>296</v>
      </c>
      <c r="O46" s="234">
        <v>18528694</v>
      </c>
      <c r="P46" s="236" t="s">
        <v>298</v>
      </c>
    </row>
    <row r="47" spans="1:16" ht="30" customHeight="1" x14ac:dyDescent="0.3">
      <c r="A47" s="238">
        <v>9991</v>
      </c>
      <c r="B47" s="238" t="s">
        <v>162</v>
      </c>
      <c r="C47" s="238" t="s">
        <v>75</v>
      </c>
      <c r="D47" s="238">
        <v>9991</v>
      </c>
      <c r="E47" s="238">
        <v>2026</v>
      </c>
      <c r="F47" s="238" t="s">
        <v>275</v>
      </c>
      <c r="G47" s="238">
        <v>2</v>
      </c>
      <c r="H47" s="238">
        <v>6</v>
      </c>
      <c r="I47" s="238" t="s">
        <v>703</v>
      </c>
      <c r="J47" s="94">
        <v>33831423.269999996</v>
      </c>
      <c r="K47" s="239">
        <v>7841007.4800000004</v>
      </c>
      <c r="L47" s="241" t="s">
        <v>296</v>
      </c>
      <c r="M47" s="239">
        <v>1011362.79</v>
      </c>
      <c r="N47" s="241" t="s">
        <v>296</v>
      </c>
      <c r="O47" s="239">
        <v>24979053</v>
      </c>
      <c r="P47" s="241" t="s">
        <v>298</v>
      </c>
    </row>
    <row r="48" spans="1:16" ht="30" customHeight="1" x14ac:dyDescent="0.3">
      <c r="A48" s="233">
        <v>12759</v>
      </c>
      <c r="B48" s="233" t="s">
        <v>166</v>
      </c>
      <c r="C48" s="233" t="s">
        <v>75</v>
      </c>
      <c r="D48" s="233">
        <v>12759</v>
      </c>
      <c r="E48" s="233">
        <v>2026</v>
      </c>
      <c r="F48" s="233" t="s">
        <v>275</v>
      </c>
      <c r="G48" s="233">
        <v>2</v>
      </c>
      <c r="H48" s="233">
        <v>6</v>
      </c>
      <c r="I48" s="233" t="s">
        <v>703</v>
      </c>
      <c r="J48" s="64">
        <v>2434120.4300000002</v>
      </c>
      <c r="K48" s="234">
        <v>2035921.76</v>
      </c>
      <c r="L48" s="236" t="s">
        <v>296</v>
      </c>
      <c r="M48" s="234">
        <v>350182.67</v>
      </c>
      <c r="N48" s="236" t="s">
        <v>296</v>
      </c>
      <c r="O48" s="234">
        <v>48016</v>
      </c>
      <c r="P48" s="236" t="s">
        <v>296</v>
      </c>
    </row>
    <row r="49" spans="1:16" ht="30" customHeight="1" x14ac:dyDescent="0.3">
      <c r="A49" s="238">
        <v>13120</v>
      </c>
      <c r="B49" s="238" t="s">
        <v>169</v>
      </c>
      <c r="C49" s="238" t="s">
        <v>83</v>
      </c>
      <c r="D49" s="238">
        <v>12759</v>
      </c>
      <c r="E49" s="238">
        <v>2026</v>
      </c>
      <c r="F49" s="238" t="s">
        <v>275</v>
      </c>
      <c r="G49" s="238">
        <v>2</v>
      </c>
      <c r="H49" s="238">
        <v>6</v>
      </c>
      <c r="I49" s="238" t="s">
        <v>703</v>
      </c>
      <c r="J49" s="94">
        <v>114322.85</v>
      </c>
      <c r="K49" s="239">
        <v>114322.85</v>
      </c>
      <c r="L49" s="241" t="s">
        <v>296</v>
      </c>
      <c r="M49" s="239">
        <v>0</v>
      </c>
      <c r="N49" s="241"/>
      <c r="O49" s="239">
        <v>0</v>
      </c>
      <c r="P49" s="241"/>
    </row>
    <row r="50" spans="1:16" ht="30" customHeight="1" x14ac:dyDescent="0.3">
      <c r="A50" s="233">
        <v>122</v>
      </c>
      <c r="B50" s="233" t="s">
        <v>168</v>
      </c>
      <c r="C50" s="233" t="s">
        <v>77</v>
      </c>
      <c r="D50" s="233">
        <v>12759</v>
      </c>
      <c r="E50" s="233">
        <v>2026</v>
      </c>
      <c r="F50" s="233" t="s">
        <v>275</v>
      </c>
      <c r="G50" s="233">
        <v>2</v>
      </c>
      <c r="H50" s="233">
        <v>6</v>
      </c>
      <c r="I50" s="233" t="s">
        <v>703</v>
      </c>
      <c r="J50" s="64">
        <v>2319797.58</v>
      </c>
      <c r="K50" s="234">
        <v>1921598.91</v>
      </c>
      <c r="L50" s="236" t="s">
        <v>296</v>
      </c>
      <c r="M50" s="234">
        <v>350182.67</v>
      </c>
      <c r="N50" s="236" t="s">
        <v>296</v>
      </c>
      <c r="O50" s="234">
        <v>48016</v>
      </c>
      <c r="P50" s="236" t="s">
        <v>296</v>
      </c>
    </row>
    <row r="51" spans="1:16" ht="30" customHeight="1" x14ac:dyDescent="0.3">
      <c r="A51" s="238">
        <v>77</v>
      </c>
      <c r="B51" s="238" t="s">
        <v>205</v>
      </c>
      <c r="C51" s="238" t="s">
        <v>77</v>
      </c>
      <c r="D51" s="238">
        <v>12767</v>
      </c>
      <c r="E51" s="238">
        <v>2026</v>
      </c>
      <c r="F51" s="238" t="s">
        <v>275</v>
      </c>
      <c r="G51" s="238">
        <v>2</v>
      </c>
      <c r="H51" s="238">
        <v>6</v>
      </c>
      <c r="I51" s="238" t="s">
        <v>703</v>
      </c>
      <c r="J51" s="94">
        <v>685419.32000000007</v>
      </c>
      <c r="K51" s="239">
        <v>179634.75</v>
      </c>
      <c r="L51" s="241" t="s">
        <v>296</v>
      </c>
      <c r="M51" s="239">
        <v>12284.57</v>
      </c>
      <c r="N51" s="241" t="s">
        <v>296</v>
      </c>
      <c r="O51" s="239">
        <v>493500</v>
      </c>
      <c r="P51" s="241" t="s">
        <v>296</v>
      </c>
    </row>
    <row r="52" spans="1:16" ht="30" customHeight="1" x14ac:dyDescent="0.3">
      <c r="A52" s="233">
        <v>12767</v>
      </c>
      <c r="B52" s="233" t="s">
        <v>203</v>
      </c>
      <c r="C52" s="233" t="s">
        <v>75</v>
      </c>
      <c r="D52" s="233">
        <v>12767</v>
      </c>
      <c r="E52" s="233">
        <v>2026</v>
      </c>
      <c r="F52" s="233" t="s">
        <v>275</v>
      </c>
      <c r="G52" s="233">
        <v>2</v>
      </c>
      <c r="H52" s="233">
        <v>6</v>
      </c>
      <c r="I52" s="233" t="s">
        <v>703</v>
      </c>
      <c r="J52" s="64">
        <v>0</v>
      </c>
      <c r="K52" s="234">
        <v>0</v>
      </c>
      <c r="L52" s="236"/>
      <c r="M52" s="234">
        <v>0</v>
      </c>
      <c r="N52" s="236"/>
      <c r="O52" s="234">
        <v>0</v>
      </c>
      <c r="P52" s="236"/>
    </row>
    <row r="53" spans="1:16" ht="30" customHeight="1" x14ac:dyDescent="0.3">
      <c r="A53" s="238">
        <v>14428</v>
      </c>
      <c r="B53" s="238" t="s">
        <v>206</v>
      </c>
      <c r="C53" s="238" t="s">
        <v>83</v>
      </c>
      <c r="D53" s="238">
        <v>12767</v>
      </c>
      <c r="E53" s="238">
        <v>2026</v>
      </c>
      <c r="F53" s="238" t="s">
        <v>275</v>
      </c>
      <c r="G53" s="238">
        <v>2</v>
      </c>
      <c r="H53" s="238">
        <v>6</v>
      </c>
      <c r="I53" s="238" t="s">
        <v>703</v>
      </c>
      <c r="J53" s="94">
        <v>0</v>
      </c>
      <c r="K53" s="239">
        <v>0</v>
      </c>
      <c r="L53" s="241"/>
      <c r="M53" s="239">
        <v>0</v>
      </c>
      <c r="N53" s="241"/>
      <c r="O53" s="239">
        <v>0</v>
      </c>
      <c r="P53" s="241"/>
    </row>
    <row r="54" spans="1:16" ht="30" customHeight="1" x14ac:dyDescent="0.3">
      <c r="A54" s="233">
        <v>12773</v>
      </c>
      <c r="B54" s="233" t="s">
        <v>179</v>
      </c>
      <c r="C54" s="233" t="s">
        <v>75</v>
      </c>
      <c r="D54" s="233">
        <v>12773</v>
      </c>
      <c r="E54" s="233">
        <v>2026</v>
      </c>
      <c r="F54" s="233" t="s">
        <v>275</v>
      </c>
      <c r="G54" s="233">
        <v>2</v>
      </c>
      <c r="H54" s="233">
        <v>6</v>
      </c>
      <c r="I54" s="233" t="s">
        <v>703</v>
      </c>
      <c r="J54" s="64">
        <v>1132157.3699999999</v>
      </c>
      <c r="K54" s="234">
        <v>774411.22</v>
      </c>
      <c r="L54" s="236"/>
      <c r="M54" s="234">
        <v>329120</v>
      </c>
      <c r="N54" s="236"/>
      <c r="O54" s="234">
        <v>28626.15</v>
      </c>
      <c r="P54" s="236"/>
    </row>
    <row r="55" spans="1:16" ht="30" customHeight="1" x14ac:dyDescent="0.3">
      <c r="A55" s="238">
        <v>129</v>
      </c>
      <c r="B55" s="238" t="s">
        <v>181</v>
      </c>
      <c r="C55" s="238" t="s">
        <v>77</v>
      </c>
      <c r="D55" s="238">
        <v>12773</v>
      </c>
      <c r="E55" s="238">
        <v>2026</v>
      </c>
      <c r="F55" s="238" t="s">
        <v>275</v>
      </c>
      <c r="G55" s="238">
        <v>2</v>
      </c>
      <c r="H55" s="238">
        <v>6</v>
      </c>
      <c r="I55" s="238" t="s">
        <v>703</v>
      </c>
      <c r="J55" s="94">
        <v>1132157.3699999999</v>
      </c>
      <c r="K55" s="239">
        <v>774411.22</v>
      </c>
      <c r="L55" s="241"/>
      <c r="M55" s="239">
        <v>329120</v>
      </c>
      <c r="N55" s="241"/>
      <c r="O55" s="239">
        <v>28626.15</v>
      </c>
      <c r="P55" s="241"/>
    </row>
    <row r="56" spans="1:16" ht="30" customHeight="1" x14ac:dyDescent="0.3">
      <c r="A56" s="233">
        <v>11397</v>
      </c>
      <c r="B56" s="233" t="s">
        <v>182</v>
      </c>
      <c r="C56" s="233" t="s">
        <v>83</v>
      </c>
      <c r="D56" s="233">
        <v>12773</v>
      </c>
      <c r="E56" s="233">
        <v>2026</v>
      </c>
      <c r="F56" s="233" t="s">
        <v>275</v>
      </c>
      <c r="G56" s="233">
        <v>2</v>
      </c>
      <c r="H56" s="233">
        <v>6</v>
      </c>
      <c r="I56" s="233" t="s">
        <v>703</v>
      </c>
      <c r="J56" s="64">
        <v>0</v>
      </c>
      <c r="K56" s="234">
        <v>0</v>
      </c>
      <c r="L56" s="236"/>
      <c r="M56" s="234">
        <v>0</v>
      </c>
      <c r="N56" s="236"/>
      <c r="O56" s="234">
        <v>0</v>
      </c>
      <c r="P56" s="236"/>
    </row>
    <row r="57" spans="1:16" ht="30" customHeight="1" x14ac:dyDescent="0.3">
      <c r="A57" s="238">
        <v>10991</v>
      </c>
      <c r="B57" s="238" t="s">
        <v>196</v>
      </c>
      <c r="C57" s="238" t="s">
        <v>83</v>
      </c>
      <c r="D57" s="238">
        <v>12775</v>
      </c>
      <c r="E57" s="238">
        <v>2026</v>
      </c>
      <c r="F57" s="238" t="s">
        <v>275</v>
      </c>
      <c r="G57" s="238">
        <v>2</v>
      </c>
      <c r="H57" s="238">
        <v>6</v>
      </c>
      <c r="I57" s="238" t="s">
        <v>703</v>
      </c>
      <c r="J57" s="94">
        <v>9216719</v>
      </c>
      <c r="K57" s="239">
        <v>0</v>
      </c>
      <c r="L57" s="241" t="s">
        <v>296</v>
      </c>
      <c r="M57" s="239">
        <v>355423</v>
      </c>
      <c r="N57" s="241" t="s">
        <v>296</v>
      </c>
      <c r="O57" s="239">
        <v>8861296</v>
      </c>
      <c r="P57" s="241" t="s">
        <v>296</v>
      </c>
    </row>
    <row r="58" spans="1:16" ht="30" customHeight="1" x14ac:dyDescent="0.3">
      <c r="A58" s="233">
        <v>104</v>
      </c>
      <c r="B58" s="233" t="s">
        <v>193</v>
      </c>
      <c r="C58" s="233" t="s">
        <v>77</v>
      </c>
      <c r="D58" s="233">
        <v>12775</v>
      </c>
      <c r="E58" s="233">
        <v>2026</v>
      </c>
      <c r="F58" s="233" t="s">
        <v>275</v>
      </c>
      <c r="G58" s="233">
        <v>2</v>
      </c>
      <c r="H58" s="233">
        <v>6</v>
      </c>
      <c r="I58" s="233" t="s">
        <v>703</v>
      </c>
      <c r="J58" s="64">
        <v>1102103</v>
      </c>
      <c r="K58" s="234">
        <v>361513</v>
      </c>
      <c r="L58" s="236" t="s">
        <v>296</v>
      </c>
      <c r="M58" s="234">
        <v>740590</v>
      </c>
      <c r="N58" s="236" t="s">
        <v>296</v>
      </c>
      <c r="O58" s="234">
        <v>0</v>
      </c>
      <c r="P58" s="236"/>
    </row>
    <row r="59" spans="1:16" ht="30" customHeight="1" x14ac:dyDescent="0.3">
      <c r="A59" s="238">
        <v>14420</v>
      </c>
      <c r="B59" s="238" t="s">
        <v>194</v>
      </c>
      <c r="C59" s="238" t="s">
        <v>83</v>
      </c>
      <c r="D59" s="238">
        <v>12775</v>
      </c>
      <c r="E59" s="238">
        <v>2026</v>
      </c>
      <c r="F59" s="238" t="s">
        <v>275</v>
      </c>
      <c r="G59" s="238">
        <v>2</v>
      </c>
      <c r="H59" s="238">
        <v>6</v>
      </c>
      <c r="I59" s="238" t="s">
        <v>703</v>
      </c>
      <c r="J59" s="94">
        <v>0</v>
      </c>
      <c r="K59" s="239">
        <v>0</v>
      </c>
      <c r="L59" s="241" t="s">
        <v>296</v>
      </c>
      <c r="M59" s="239">
        <v>0</v>
      </c>
      <c r="N59" s="241" t="s">
        <v>296</v>
      </c>
      <c r="O59" s="239">
        <v>0</v>
      </c>
      <c r="P59" s="241" t="s">
        <v>296</v>
      </c>
    </row>
    <row r="60" spans="1:16" ht="30" customHeight="1" x14ac:dyDescent="0.3">
      <c r="A60" s="233">
        <v>3111</v>
      </c>
      <c r="B60" s="233" t="s">
        <v>192</v>
      </c>
      <c r="C60" s="233" t="s">
        <v>77</v>
      </c>
      <c r="D60" s="233">
        <v>12775</v>
      </c>
      <c r="E60" s="233">
        <v>2026</v>
      </c>
      <c r="F60" s="233" t="s">
        <v>275</v>
      </c>
      <c r="G60" s="233">
        <v>2</v>
      </c>
      <c r="H60" s="233">
        <v>6</v>
      </c>
      <c r="I60" s="233" t="s">
        <v>703</v>
      </c>
      <c r="J60" s="64">
        <v>1153074.1200000001</v>
      </c>
      <c r="K60" s="234">
        <v>224135.08</v>
      </c>
      <c r="L60" s="236" t="s">
        <v>296</v>
      </c>
      <c r="M60" s="234">
        <v>698663.18</v>
      </c>
      <c r="N60" s="236" t="s">
        <v>296</v>
      </c>
      <c r="O60" s="234">
        <v>230275.86</v>
      </c>
      <c r="P60" s="236" t="s">
        <v>296</v>
      </c>
    </row>
    <row r="61" spans="1:16" ht="30" customHeight="1" x14ac:dyDescent="0.3">
      <c r="A61" s="238">
        <v>7895</v>
      </c>
      <c r="B61" s="238" t="s">
        <v>195</v>
      </c>
      <c r="C61" s="238" t="s">
        <v>83</v>
      </c>
      <c r="D61" s="238">
        <v>12775</v>
      </c>
      <c r="E61" s="238">
        <v>2026</v>
      </c>
      <c r="F61" s="238" t="s">
        <v>275</v>
      </c>
      <c r="G61" s="238">
        <v>2</v>
      </c>
      <c r="H61" s="238">
        <v>6</v>
      </c>
      <c r="I61" s="238" t="s">
        <v>703</v>
      </c>
      <c r="J61" s="94">
        <v>0</v>
      </c>
      <c r="K61" s="239">
        <v>0</v>
      </c>
      <c r="L61" s="241" t="s">
        <v>296</v>
      </c>
      <c r="M61" s="239">
        <v>0</v>
      </c>
      <c r="N61" s="241" t="s">
        <v>296</v>
      </c>
      <c r="O61" s="239">
        <v>0</v>
      </c>
      <c r="P61" s="241" t="s">
        <v>296</v>
      </c>
    </row>
    <row r="62" spans="1:16" ht="30" customHeight="1" x14ac:dyDescent="0.3">
      <c r="A62" s="233">
        <v>12775</v>
      </c>
      <c r="B62" s="233" t="s">
        <v>309</v>
      </c>
      <c r="C62" s="233" t="s">
        <v>75</v>
      </c>
      <c r="D62" s="233">
        <v>12775</v>
      </c>
      <c r="E62" s="233">
        <v>2026</v>
      </c>
      <c r="F62" s="233" t="s">
        <v>275</v>
      </c>
      <c r="G62" s="233">
        <v>2</v>
      </c>
      <c r="H62" s="233">
        <v>6</v>
      </c>
      <c r="I62" s="233" t="s">
        <v>703</v>
      </c>
      <c r="J62" s="64">
        <v>12161356.994999999</v>
      </c>
      <c r="K62" s="234">
        <v>622161.07999999996</v>
      </c>
      <c r="L62" s="236" t="s">
        <v>296</v>
      </c>
      <c r="M62" s="234">
        <v>2447624.0550000002</v>
      </c>
      <c r="N62" s="236" t="s">
        <v>296</v>
      </c>
      <c r="O62" s="234">
        <v>9091571.8599999994</v>
      </c>
      <c r="P62" s="236" t="s">
        <v>296</v>
      </c>
    </row>
    <row r="63" spans="1:16" ht="30" customHeight="1" x14ac:dyDescent="0.3">
      <c r="A63" s="238">
        <v>85</v>
      </c>
      <c r="B63" s="238" t="s">
        <v>191</v>
      </c>
      <c r="C63" s="238" t="s">
        <v>77</v>
      </c>
      <c r="D63" s="238">
        <v>12775</v>
      </c>
      <c r="E63" s="238">
        <v>2026</v>
      </c>
      <c r="F63" s="238" t="s">
        <v>275</v>
      </c>
      <c r="G63" s="238">
        <v>2</v>
      </c>
      <c r="H63" s="238">
        <v>6</v>
      </c>
      <c r="I63" s="238" t="s">
        <v>703</v>
      </c>
      <c r="J63" s="94">
        <v>689460.875</v>
      </c>
      <c r="K63" s="239">
        <v>36513</v>
      </c>
      <c r="L63" s="241" t="s">
        <v>296</v>
      </c>
      <c r="M63" s="239">
        <v>652947.875</v>
      </c>
      <c r="N63" s="241" t="s">
        <v>296</v>
      </c>
      <c r="O63" s="239">
        <v>0</v>
      </c>
      <c r="P63" s="241"/>
    </row>
    <row r="64" spans="1:16" ht="30" customHeight="1" x14ac:dyDescent="0.3">
      <c r="A64" s="233">
        <v>57</v>
      </c>
      <c r="B64" s="233" t="s">
        <v>132</v>
      </c>
      <c r="C64" s="233" t="s">
        <v>77</v>
      </c>
      <c r="D64" s="233">
        <v>12776</v>
      </c>
      <c r="E64" s="233">
        <v>2026</v>
      </c>
      <c r="F64" s="233" t="s">
        <v>275</v>
      </c>
      <c r="G64" s="233">
        <v>2</v>
      </c>
      <c r="H64" s="233">
        <v>6</v>
      </c>
      <c r="I64" s="233" t="s">
        <v>703</v>
      </c>
      <c r="J64" s="64">
        <v>4590065</v>
      </c>
      <c r="K64" s="234">
        <v>3576759</v>
      </c>
      <c r="L64" s="236" t="s">
        <v>298</v>
      </c>
      <c r="M64" s="234">
        <v>1013306</v>
      </c>
      <c r="N64" s="236" t="s">
        <v>298</v>
      </c>
      <c r="O64" s="234">
        <v>0</v>
      </c>
      <c r="P64" s="236"/>
    </row>
    <row r="65" spans="1:16" ht="30" customHeight="1" x14ac:dyDescent="0.3">
      <c r="A65" s="238">
        <v>12776</v>
      </c>
      <c r="B65" s="238" t="s">
        <v>130</v>
      </c>
      <c r="C65" s="238" t="s">
        <v>75</v>
      </c>
      <c r="D65" s="238">
        <v>12776</v>
      </c>
      <c r="E65" s="238">
        <v>2026</v>
      </c>
      <c r="F65" s="238" t="s">
        <v>275</v>
      </c>
      <c r="G65" s="238">
        <v>2</v>
      </c>
      <c r="H65" s="238">
        <v>6</v>
      </c>
      <c r="I65" s="238" t="s">
        <v>703</v>
      </c>
      <c r="J65" s="94">
        <v>0</v>
      </c>
      <c r="K65" s="239">
        <v>0</v>
      </c>
      <c r="L65" s="241"/>
      <c r="M65" s="239">
        <v>0</v>
      </c>
      <c r="N65" s="241"/>
      <c r="O65" s="239">
        <v>0</v>
      </c>
      <c r="P65" s="241"/>
    </row>
    <row r="66" spans="1:16" ht="30" customHeight="1" x14ac:dyDescent="0.3">
      <c r="A66" s="233">
        <v>12807</v>
      </c>
      <c r="B66" s="233" t="s">
        <v>133</v>
      </c>
      <c r="C66" s="233" t="s">
        <v>75</v>
      </c>
      <c r="D66" s="233">
        <v>12807</v>
      </c>
      <c r="E66" s="233">
        <v>2026</v>
      </c>
      <c r="F66" s="233" t="s">
        <v>275</v>
      </c>
      <c r="G66" s="233">
        <v>2</v>
      </c>
      <c r="H66" s="233">
        <v>6</v>
      </c>
      <c r="I66" s="233" t="s">
        <v>703</v>
      </c>
      <c r="J66" s="64">
        <v>1770864.1099999999</v>
      </c>
      <c r="K66" s="234">
        <v>113498.17</v>
      </c>
      <c r="L66" s="236" t="s">
        <v>296</v>
      </c>
      <c r="M66" s="234">
        <v>209905.3</v>
      </c>
      <c r="N66" s="236" t="s">
        <v>296</v>
      </c>
      <c r="O66" s="234">
        <v>1447460.64</v>
      </c>
      <c r="P66" s="236" t="s">
        <v>296</v>
      </c>
    </row>
    <row r="67" spans="1:16" ht="30" customHeight="1" x14ac:dyDescent="0.3">
      <c r="A67" s="238">
        <v>10976</v>
      </c>
      <c r="B67" s="238" t="s">
        <v>137</v>
      </c>
      <c r="C67" s="238" t="s">
        <v>83</v>
      </c>
      <c r="D67" s="238">
        <v>12807</v>
      </c>
      <c r="E67" s="238">
        <v>2026</v>
      </c>
      <c r="F67" s="238" t="s">
        <v>275</v>
      </c>
      <c r="G67" s="238">
        <v>2</v>
      </c>
      <c r="H67" s="238">
        <v>6</v>
      </c>
      <c r="I67" s="238" t="s">
        <v>703</v>
      </c>
      <c r="J67" s="94">
        <v>0</v>
      </c>
      <c r="K67" s="239">
        <v>0</v>
      </c>
      <c r="L67" s="241"/>
      <c r="M67" s="239">
        <v>0</v>
      </c>
      <c r="N67" s="241"/>
      <c r="O67" s="239">
        <v>0</v>
      </c>
      <c r="P67" s="241"/>
    </row>
    <row r="68" spans="1:16" ht="30" customHeight="1" x14ac:dyDescent="0.3">
      <c r="A68" s="233">
        <v>73</v>
      </c>
      <c r="B68" s="233" t="s">
        <v>136</v>
      </c>
      <c r="C68" s="233" t="s">
        <v>77</v>
      </c>
      <c r="D68" s="233">
        <v>12807</v>
      </c>
      <c r="E68" s="233">
        <v>2026</v>
      </c>
      <c r="F68" s="233" t="s">
        <v>275</v>
      </c>
      <c r="G68" s="233">
        <v>2</v>
      </c>
      <c r="H68" s="233">
        <v>6</v>
      </c>
      <c r="I68" s="233" t="s">
        <v>703</v>
      </c>
      <c r="J68" s="64">
        <v>1351381.56</v>
      </c>
      <c r="K68" s="234">
        <v>78490.25</v>
      </c>
      <c r="L68" s="236" t="s">
        <v>296</v>
      </c>
      <c r="M68" s="234">
        <v>174320.5</v>
      </c>
      <c r="N68" s="236" t="s">
        <v>296</v>
      </c>
      <c r="O68" s="234">
        <v>1098570.81</v>
      </c>
      <c r="P68" s="236"/>
    </row>
    <row r="69" spans="1:16" ht="30" customHeight="1" x14ac:dyDescent="0.3">
      <c r="A69" s="238">
        <v>2</v>
      </c>
      <c r="B69" s="238" t="s">
        <v>135</v>
      </c>
      <c r="C69" s="238" t="s">
        <v>77</v>
      </c>
      <c r="D69" s="238">
        <v>12807</v>
      </c>
      <c r="E69" s="238">
        <v>2026</v>
      </c>
      <c r="F69" s="238" t="s">
        <v>275</v>
      </c>
      <c r="G69" s="238">
        <v>2</v>
      </c>
      <c r="H69" s="238">
        <v>6</v>
      </c>
      <c r="I69" s="238" t="s">
        <v>703</v>
      </c>
      <c r="J69" s="94">
        <v>419482.55000000005</v>
      </c>
      <c r="K69" s="239">
        <v>35007.919999999998</v>
      </c>
      <c r="L69" s="241" t="s">
        <v>296</v>
      </c>
      <c r="M69" s="239">
        <v>35584.800000000003</v>
      </c>
      <c r="N69" s="241" t="s">
        <v>296</v>
      </c>
      <c r="O69" s="239">
        <v>348889.83</v>
      </c>
      <c r="P69" s="241" t="s">
        <v>296</v>
      </c>
    </row>
    <row r="70" spans="1:16" ht="30" customHeight="1" x14ac:dyDescent="0.3">
      <c r="A70" s="233">
        <v>51</v>
      </c>
      <c r="B70" s="233" t="s">
        <v>129</v>
      </c>
      <c r="C70" s="233" t="s">
        <v>77</v>
      </c>
      <c r="D70" s="233">
        <v>13155</v>
      </c>
      <c r="E70" s="233">
        <v>2026</v>
      </c>
      <c r="F70" s="233" t="s">
        <v>275</v>
      </c>
      <c r="G70" s="233">
        <v>2</v>
      </c>
      <c r="H70" s="233">
        <v>6</v>
      </c>
      <c r="I70" s="233" t="s">
        <v>703</v>
      </c>
      <c r="J70" s="64">
        <v>3806226</v>
      </c>
      <c r="K70" s="234">
        <v>213037</v>
      </c>
      <c r="L70" s="236" t="s">
        <v>298</v>
      </c>
      <c r="M70" s="234">
        <v>3593189</v>
      </c>
      <c r="N70" s="236" t="s">
        <v>298</v>
      </c>
      <c r="O70" s="234">
        <v>0</v>
      </c>
      <c r="P70" s="236"/>
    </row>
    <row r="71" spans="1:16" ht="30" customHeight="1" x14ac:dyDescent="0.3">
      <c r="A71" s="238">
        <v>13155</v>
      </c>
      <c r="B71" s="238" t="s">
        <v>127</v>
      </c>
      <c r="C71" s="238" t="s">
        <v>75</v>
      </c>
      <c r="D71" s="238">
        <v>13155</v>
      </c>
      <c r="E71" s="238">
        <v>2026</v>
      </c>
      <c r="F71" s="238" t="s">
        <v>275</v>
      </c>
      <c r="G71" s="238">
        <v>2</v>
      </c>
      <c r="H71" s="238">
        <v>6</v>
      </c>
      <c r="I71" s="238" t="s">
        <v>703</v>
      </c>
      <c r="J71" s="94">
        <v>3806226</v>
      </c>
      <c r="K71" s="239">
        <v>213037</v>
      </c>
      <c r="L71" s="241" t="s">
        <v>298</v>
      </c>
      <c r="M71" s="239">
        <v>3593189</v>
      </c>
      <c r="N71" s="241" t="s">
        <v>298</v>
      </c>
      <c r="O71" s="239">
        <v>0</v>
      </c>
      <c r="P71" s="241"/>
    </row>
    <row r="72" spans="1:16" ht="30" customHeight="1" x14ac:dyDescent="0.3">
      <c r="A72" s="233">
        <v>83</v>
      </c>
      <c r="B72" s="233" t="s">
        <v>139</v>
      </c>
      <c r="C72" s="233" t="s">
        <v>77</v>
      </c>
      <c r="D72" s="233">
        <v>13156</v>
      </c>
      <c r="E72" s="233">
        <v>2026</v>
      </c>
      <c r="F72" s="233" t="s">
        <v>275</v>
      </c>
      <c r="G72" s="233">
        <v>2</v>
      </c>
      <c r="H72" s="233">
        <v>6</v>
      </c>
      <c r="I72" s="233" t="s">
        <v>703</v>
      </c>
      <c r="J72" s="64">
        <v>6860590</v>
      </c>
      <c r="K72" s="234">
        <v>3854109</v>
      </c>
      <c r="L72" s="236" t="s">
        <v>296</v>
      </c>
      <c r="M72" s="234">
        <v>1103952</v>
      </c>
      <c r="N72" s="236" t="s">
        <v>296</v>
      </c>
      <c r="O72" s="234">
        <v>1902529</v>
      </c>
      <c r="P72" s="236"/>
    </row>
    <row r="73" spans="1:16" ht="30" customHeight="1" x14ac:dyDescent="0.3">
      <c r="A73" s="238">
        <v>75</v>
      </c>
      <c r="B73" s="238" t="s">
        <v>176</v>
      </c>
      <c r="C73" s="238" t="s">
        <v>77</v>
      </c>
      <c r="D73" s="238">
        <v>13156</v>
      </c>
      <c r="E73" s="238">
        <v>2026</v>
      </c>
      <c r="F73" s="238" t="s">
        <v>275</v>
      </c>
      <c r="G73" s="238">
        <v>2</v>
      </c>
      <c r="H73" s="238">
        <v>6</v>
      </c>
      <c r="I73" s="238" t="s">
        <v>703</v>
      </c>
      <c r="J73" s="94">
        <v>3522834</v>
      </c>
      <c r="K73" s="239">
        <v>2477776</v>
      </c>
      <c r="L73" s="241" t="s">
        <v>296</v>
      </c>
      <c r="M73" s="239">
        <v>982681</v>
      </c>
      <c r="N73" s="241" t="s">
        <v>296</v>
      </c>
      <c r="O73" s="239">
        <v>62377</v>
      </c>
      <c r="P73" s="241"/>
    </row>
    <row r="74" spans="1:16" ht="30" customHeight="1" x14ac:dyDescent="0.3">
      <c r="A74" s="233">
        <v>13156</v>
      </c>
      <c r="B74" s="233" t="s">
        <v>138</v>
      </c>
      <c r="C74" s="233" t="s">
        <v>75</v>
      </c>
      <c r="D74" s="233">
        <v>13156</v>
      </c>
      <c r="E74" s="233">
        <v>2026</v>
      </c>
      <c r="F74" s="233" t="s">
        <v>275</v>
      </c>
      <c r="G74" s="233">
        <v>2</v>
      </c>
      <c r="H74" s="233">
        <v>6</v>
      </c>
      <c r="I74" s="233" t="s">
        <v>703</v>
      </c>
      <c r="J74" s="64">
        <v>0</v>
      </c>
      <c r="K74" s="234">
        <v>6331885</v>
      </c>
      <c r="L74" s="236" t="s">
        <v>296</v>
      </c>
      <c r="M74" s="234">
        <v>2115188</v>
      </c>
      <c r="N74" s="236" t="s">
        <v>296</v>
      </c>
      <c r="O74" s="234">
        <v>2490242</v>
      </c>
      <c r="P74" s="236"/>
    </row>
    <row r="75" spans="1:16" ht="30" customHeight="1" x14ac:dyDescent="0.3">
      <c r="A75" s="238">
        <v>13118</v>
      </c>
      <c r="B75" s="238" t="s">
        <v>140</v>
      </c>
      <c r="C75" s="238" t="s">
        <v>83</v>
      </c>
      <c r="D75" s="238">
        <v>13156</v>
      </c>
      <c r="E75" s="238">
        <v>2026</v>
      </c>
      <c r="F75" s="238" t="s">
        <v>275</v>
      </c>
      <c r="G75" s="238">
        <v>2</v>
      </c>
      <c r="H75" s="238">
        <v>6</v>
      </c>
      <c r="I75" s="238" t="s">
        <v>703</v>
      </c>
      <c r="J75" s="94">
        <v>553891</v>
      </c>
      <c r="K75" s="239">
        <v>0</v>
      </c>
      <c r="L75" s="241"/>
      <c r="M75" s="239">
        <v>28555</v>
      </c>
      <c r="N75" s="241" t="s">
        <v>296</v>
      </c>
      <c r="O75" s="239">
        <v>525336</v>
      </c>
      <c r="P75" s="241"/>
    </row>
    <row r="76" spans="1:16" ht="30" customHeight="1" x14ac:dyDescent="0.3">
      <c r="A76" s="233">
        <v>11718</v>
      </c>
      <c r="B76" s="233" t="s">
        <v>690</v>
      </c>
      <c r="C76" s="233" t="s">
        <v>77</v>
      </c>
      <c r="D76" s="233">
        <v>13158</v>
      </c>
      <c r="E76" s="233">
        <v>2026</v>
      </c>
      <c r="F76" s="233" t="s">
        <v>630</v>
      </c>
      <c r="G76" s="233">
        <v>1</v>
      </c>
      <c r="H76" s="233">
        <v>3</v>
      </c>
      <c r="I76" s="233" t="s">
        <v>704</v>
      </c>
      <c r="J76" s="64">
        <v>0</v>
      </c>
      <c r="K76" s="234">
        <v>0</v>
      </c>
      <c r="L76" s="236"/>
      <c r="M76" s="234">
        <v>0</v>
      </c>
      <c r="N76" s="236"/>
      <c r="O76" s="234">
        <v>0</v>
      </c>
      <c r="P76" s="236"/>
    </row>
    <row r="77" spans="1:16" ht="30" customHeight="1" x14ac:dyDescent="0.3">
      <c r="A77" s="238">
        <v>6963</v>
      </c>
      <c r="B77" s="238" t="s">
        <v>614</v>
      </c>
      <c r="C77" s="238" t="s">
        <v>77</v>
      </c>
      <c r="D77" s="238">
        <v>13158</v>
      </c>
      <c r="E77" s="238">
        <v>2026</v>
      </c>
      <c r="F77" s="238" t="s">
        <v>630</v>
      </c>
      <c r="G77" s="238">
        <v>1</v>
      </c>
      <c r="H77" s="238">
        <v>3</v>
      </c>
      <c r="I77" s="238" t="s">
        <v>704</v>
      </c>
      <c r="J77" s="94">
        <v>0</v>
      </c>
      <c r="K77" s="239">
        <v>0</v>
      </c>
      <c r="L77" s="241" t="s">
        <v>296</v>
      </c>
      <c r="M77" s="239">
        <v>0</v>
      </c>
      <c r="N77" s="241" t="s">
        <v>296</v>
      </c>
      <c r="O77" s="239">
        <v>0</v>
      </c>
      <c r="P77" s="241" t="s">
        <v>296</v>
      </c>
    </row>
    <row r="78" spans="1:16" ht="30" customHeight="1" x14ac:dyDescent="0.3">
      <c r="A78" s="233">
        <v>13158</v>
      </c>
      <c r="B78" s="233" t="s">
        <v>613</v>
      </c>
      <c r="C78" s="233" t="s">
        <v>75</v>
      </c>
      <c r="D78" s="233">
        <v>13158</v>
      </c>
      <c r="E78" s="233">
        <v>2026</v>
      </c>
      <c r="F78" s="233" t="s">
        <v>630</v>
      </c>
      <c r="G78" s="233">
        <v>1</v>
      </c>
      <c r="H78" s="233">
        <v>3</v>
      </c>
      <c r="I78" s="233" t="s">
        <v>704</v>
      </c>
      <c r="J78" s="64">
        <v>0</v>
      </c>
      <c r="K78" s="234">
        <v>0</v>
      </c>
      <c r="L78" s="236"/>
      <c r="M78" s="234">
        <v>0</v>
      </c>
      <c r="N78" s="236"/>
      <c r="O78" s="234">
        <v>0</v>
      </c>
      <c r="P78" s="236"/>
    </row>
    <row r="79" spans="1:16" ht="30" customHeight="1" x14ac:dyDescent="0.3">
      <c r="A79" s="238">
        <v>3108</v>
      </c>
      <c r="B79" s="238" t="s">
        <v>121</v>
      </c>
      <c r="C79" s="238" t="s">
        <v>77</v>
      </c>
      <c r="D79" s="238">
        <v>13159</v>
      </c>
      <c r="E79" s="238">
        <v>2026</v>
      </c>
      <c r="F79" s="238" t="s">
        <v>276</v>
      </c>
      <c r="G79" s="238">
        <v>3</v>
      </c>
      <c r="H79" s="238">
        <v>9</v>
      </c>
      <c r="I79" s="238" t="s">
        <v>705</v>
      </c>
      <c r="J79" s="94">
        <v>0</v>
      </c>
      <c r="K79" s="239">
        <v>0</v>
      </c>
      <c r="L79" s="241"/>
      <c r="M79" s="239">
        <v>0</v>
      </c>
      <c r="N79" s="241"/>
      <c r="O79" s="239">
        <v>0</v>
      </c>
      <c r="P79" s="241"/>
    </row>
    <row r="80" spans="1:16" ht="30" customHeight="1" x14ac:dyDescent="0.3">
      <c r="A80" s="233">
        <v>13159</v>
      </c>
      <c r="B80" s="233" t="s">
        <v>121</v>
      </c>
      <c r="C80" s="233" t="s">
        <v>75</v>
      </c>
      <c r="D80" s="233">
        <v>13159</v>
      </c>
      <c r="E80" s="233">
        <v>2026</v>
      </c>
      <c r="F80" s="233" t="s">
        <v>276</v>
      </c>
      <c r="G80" s="233">
        <v>3</v>
      </c>
      <c r="H80" s="233">
        <v>9</v>
      </c>
      <c r="I80" s="233" t="s">
        <v>705</v>
      </c>
      <c r="J80" s="64">
        <v>18390022.530000001</v>
      </c>
      <c r="K80" s="234">
        <v>9396118.3100000005</v>
      </c>
      <c r="L80" s="236" t="s">
        <v>296</v>
      </c>
      <c r="M80" s="234">
        <v>6007353.2199999997</v>
      </c>
      <c r="N80" s="236" t="s">
        <v>296</v>
      </c>
      <c r="O80" s="234">
        <v>2986551</v>
      </c>
      <c r="P80" s="236" t="s">
        <v>296</v>
      </c>
    </row>
    <row r="81" spans="1:16" ht="30" customHeight="1" x14ac:dyDescent="0.3">
      <c r="A81" s="238">
        <v>14286</v>
      </c>
      <c r="B81" s="238" t="s">
        <v>113</v>
      </c>
      <c r="C81" s="238" t="s">
        <v>75</v>
      </c>
      <c r="D81" s="238">
        <v>14286</v>
      </c>
      <c r="E81" s="238">
        <v>2026</v>
      </c>
      <c r="F81" s="238" t="s">
        <v>275</v>
      </c>
      <c r="G81" s="238">
        <v>2</v>
      </c>
      <c r="H81" s="238">
        <v>6</v>
      </c>
      <c r="I81" s="238" t="s">
        <v>703</v>
      </c>
      <c r="J81" s="94">
        <v>28642979.193999998</v>
      </c>
      <c r="K81" s="239">
        <v>12242461.35</v>
      </c>
      <c r="L81" s="241" t="s">
        <v>298</v>
      </c>
      <c r="M81" s="239">
        <v>15751988.854</v>
      </c>
      <c r="N81" s="241" t="s">
        <v>298</v>
      </c>
      <c r="O81" s="239">
        <v>648528.99</v>
      </c>
      <c r="P81" s="241" t="s">
        <v>298</v>
      </c>
    </row>
    <row r="82" spans="1:16" ht="30" customHeight="1" x14ac:dyDescent="0.3">
      <c r="A82" s="233">
        <v>46</v>
      </c>
      <c r="B82" s="233" t="s">
        <v>115</v>
      </c>
      <c r="C82" s="233" t="s">
        <v>77</v>
      </c>
      <c r="D82" s="233">
        <v>14286</v>
      </c>
      <c r="E82" s="233">
        <v>2026</v>
      </c>
      <c r="F82" s="233" t="s">
        <v>275</v>
      </c>
      <c r="G82" s="233">
        <v>2</v>
      </c>
      <c r="H82" s="233">
        <v>6</v>
      </c>
      <c r="I82" s="233" t="s">
        <v>703</v>
      </c>
      <c r="J82" s="64">
        <v>26511192.969999999</v>
      </c>
      <c r="K82" s="234">
        <v>11554333.880000001</v>
      </c>
      <c r="L82" s="236" t="s">
        <v>298</v>
      </c>
      <c r="M82" s="234">
        <v>14955339.09</v>
      </c>
      <c r="N82" s="236" t="s">
        <v>298</v>
      </c>
      <c r="O82" s="234">
        <v>1520</v>
      </c>
      <c r="P82" s="236" t="s">
        <v>298</v>
      </c>
    </row>
    <row r="83" spans="1:16" ht="30" customHeight="1" x14ac:dyDescent="0.3">
      <c r="A83" s="238">
        <v>14426</v>
      </c>
      <c r="B83" s="238" t="s">
        <v>116</v>
      </c>
      <c r="C83" s="238" t="s">
        <v>83</v>
      </c>
      <c r="D83" s="238">
        <v>14286</v>
      </c>
      <c r="E83" s="238">
        <v>2026</v>
      </c>
      <c r="F83" s="238" t="s">
        <v>275</v>
      </c>
      <c r="G83" s="238">
        <v>2</v>
      </c>
      <c r="H83" s="238">
        <v>6</v>
      </c>
      <c r="I83" s="238" t="s">
        <v>703</v>
      </c>
      <c r="J83" s="94">
        <v>1639412.8199999998</v>
      </c>
      <c r="K83" s="239">
        <v>598787.47</v>
      </c>
      <c r="L83" s="241" t="s">
        <v>298</v>
      </c>
      <c r="M83" s="239">
        <v>525332.46</v>
      </c>
      <c r="N83" s="241" t="s">
        <v>298</v>
      </c>
      <c r="O83" s="239">
        <v>515292.89</v>
      </c>
      <c r="P83" s="241" t="s">
        <v>298</v>
      </c>
    </row>
    <row r="84" spans="1:16" ht="30" customHeight="1" x14ac:dyDescent="0.3">
      <c r="A84" s="233">
        <v>126</v>
      </c>
      <c r="B84" s="233" t="s">
        <v>178</v>
      </c>
      <c r="C84" s="233" t="s">
        <v>83</v>
      </c>
      <c r="D84" s="233">
        <v>14287</v>
      </c>
      <c r="E84" s="233">
        <v>2026</v>
      </c>
      <c r="F84" s="233" t="s">
        <v>275</v>
      </c>
      <c r="G84" s="233">
        <v>2</v>
      </c>
      <c r="H84" s="233">
        <v>6</v>
      </c>
      <c r="I84" s="233" t="s">
        <v>703</v>
      </c>
      <c r="J84" s="64">
        <v>5527435</v>
      </c>
      <c r="K84" s="234">
        <v>2447472</v>
      </c>
      <c r="L84" s="236" t="s">
        <v>298</v>
      </c>
      <c r="M84" s="234">
        <v>3079963</v>
      </c>
      <c r="N84" s="236" t="s">
        <v>298</v>
      </c>
      <c r="O84" s="234">
        <v>0</v>
      </c>
      <c r="P84" s="236"/>
    </row>
    <row r="85" spans="1:16" ht="30" customHeight="1" x14ac:dyDescent="0.3">
      <c r="A85" s="238">
        <v>13198</v>
      </c>
      <c r="B85" s="238" t="s">
        <v>119</v>
      </c>
      <c r="C85" s="238" t="s">
        <v>83</v>
      </c>
      <c r="D85" s="238">
        <v>14287</v>
      </c>
      <c r="E85" s="238">
        <v>2026</v>
      </c>
      <c r="F85" s="238" t="s">
        <v>275</v>
      </c>
      <c r="G85" s="238">
        <v>2</v>
      </c>
      <c r="H85" s="238">
        <v>6</v>
      </c>
      <c r="I85" s="238" t="s">
        <v>703</v>
      </c>
      <c r="J85" s="94">
        <v>2859338</v>
      </c>
      <c r="K85" s="239">
        <v>187965</v>
      </c>
      <c r="L85" s="241" t="s">
        <v>298</v>
      </c>
      <c r="M85" s="239">
        <v>304183</v>
      </c>
      <c r="N85" s="241" t="s">
        <v>298</v>
      </c>
      <c r="O85" s="239">
        <v>2367190</v>
      </c>
      <c r="P85" s="241" t="s">
        <v>298</v>
      </c>
    </row>
    <row r="86" spans="1:16" ht="30" customHeight="1" x14ac:dyDescent="0.3">
      <c r="A86" s="233">
        <v>14287</v>
      </c>
      <c r="B86" s="233" t="s">
        <v>117</v>
      </c>
      <c r="C86" s="233" t="s">
        <v>75</v>
      </c>
      <c r="D86" s="233">
        <v>14287</v>
      </c>
      <c r="E86" s="233">
        <v>2026</v>
      </c>
      <c r="F86" s="233" t="s">
        <v>275</v>
      </c>
      <c r="G86" s="233">
        <v>2</v>
      </c>
      <c r="H86" s="233">
        <v>6</v>
      </c>
      <c r="I86" s="233" t="s">
        <v>703</v>
      </c>
      <c r="J86" s="64">
        <v>36335126</v>
      </c>
      <c r="K86" s="234">
        <v>17887774</v>
      </c>
      <c r="L86" s="236" t="s">
        <v>298</v>
      </c>
      <c r="M86" s="234">
        <v>14289731</v>
      </c>
      <c r="N86" s="236" t="s">
        <v>298</v>
      </c>
      <c r="O86" s="234">
        <v>4157621</v>
      </c>
      <c r="P86" s="236" t="s">
        <v>298</v>
      </c>
    </row>
    <row r="87" spans="1:16" ht="30" customHeight="1" x14ac:dyDescent="0.3">
      <c r="A87" s="238">
        <v>3107</v>
      </c>
      <c r="B87" s="238" t="s">
        <v>118</v>
      </c>
      <c r="C87" s="238" t="s">
        <v>77</v>
      </c>
      <c r="D87" s="238">
        <v>14287</v>
      </c>
      <c r="E87" s="238">
        <v>2026</v>
      </c>
      <c r="F87" s="238" t="s">
        <v>275</v>
      </c>
      <c r="G87" s="238">
        <v>2</v>
      </c>
      <c r="H87" s="238">
        <v>6</v>
      </c>
      <c r="I87" s="238" t="s">
        <v>703</v>
      </c>
      <c r="J87" s="94">
        <v>23373325</v>
      </c>
      <c r="K87" s="239">
        <v>13382041</v>
      </c>
      <c r="L87" s="241" t="s">
        <v>298</v>
      </c>
      <c r="M87" s="239">
        <v>9991284</v>
      </c>
      <c r="N87" s="241" t="s">
        <v>298</v>
      </c>
      <c r="O87" s="239">
        <v>0</v>
      </c>
      <c r="P87" s="241"/>
    </row>
    <row r="88" spans="1:16" ht="30" customHeight="1" x14ac:dyDescent="0.3">
      <c r="A88" s="233">
        <v>14418</v>
      </c>
      <c r="B88" s="233" t="s">
        <v>120</v>
      </c>
      <c r="C88" s="233" t="s">
        <v>83</v>
      </c>
      <c r="D88" s="233">
        <v>14287</v>
      </c>
      <c r="E88" s="233">
        <v>2026</v>
      </c>
      <c r="F88" s="233" t="s">
        <v>275</v>
      </c>
      <c r="G88" s="233">
        <v>2</v>
      </c>
      <c r="H88" s="233">
        <v>6</v>
      </c>
      <c r="I88" s="233" t="s">
        <v>703</v>
      </c>
      <c r="J88" s="64">
        <v>1939357</v>
      </c>
      <c r="K88" s="234">
        <v>0</v>
      </c>
      <c r="L88" s="236"/>
      <c r="M88" s="234">
        <v>148926</v>
      </c>
      <c r="N88" s="236" t="s">
        <v>298</v>
      </c>
      <c r="O88" s="234">
        <v>1790431</v>
      </c>
      <c r="P88" s="236" t="s">
        <v>298</v>
      </c>
    </row>
    <row r="89" spans="1:16" ht="30" customHeight="1" x14ac:dyDescent="0.3">
      <c r="A89" s="238">
        <v>8701</v>
      </c>
      <c r="B89" s="238" t="s">
        <v>175</v>
      </c>
      <c r="C89" s="238" t="s">
        <v>77</v>
      </c>
      <c r="D89" s="238">
        <v>14287</v>
      </c>
      <c r="E89" s="238">
        <v>2026</v>
      </c>
      <c r="F89" s="238" t="s">
        <v>275</v>
      </c>
      <c r="G89" s="238">
        <v>2</v>
      </c>
      <c r="H89" s="238">
        <v>6</v>
      </c>
      <c r="I89" s="238" t="s">
        <v>703</v>
      </c>
      <c r="J89" s="94">
        <v>2635671</v>
      </c>
      <c r="K89" s="239">
        <v>1870296</v>
      </c>
      <c r="L89" s="241" t="s">
        <v>298</v>
      </c>
      <c r="M89" s="239">
        <v>765375</v>
      </c>
      <c r="N89" s="241" t="s">
        <v>298</v>
      </c>
      <c r="O89" s="239">
        <v>0</v>
      </c>
      <c r="P89" s="241"/>
    </row>
    <row r="90" spans="1:16" ht="30" customHeight="1" x14ac:dyDescent="0.3">
      <c r="A90" s="233">
        <v>6547</v>
      </c>
      <c r="B90" s="233" t="s">
        <v>184</v>
      </c>
      <c r="C90" s="233" t="s">
        <v>77</v>
      </c>
      <c r="D90" s="233">
        <v>14288</v>
      </c>
      <c r="E90" s="233">
        <v>2026</v>
      </c>
      <c r="F90" s="233" t="s">
        <v>276</v>
      </c>
      <c r="G90" s="233">
        <v>3</v>
      </c>
      <c r="H90" s="233">
        <v>9</v>
      </c>
      <c r="I90" s="233" t="s">
        <v>705</v>
      </c>
      <c r="J90" s="64">
        <v>1406928</v>
      </c>
      <c r="K90" s="234">
        <v>1029809</v>
      </c>
      <c r="L90" s="236" t="s">
        <v>298</v>
      </c>
      <c r="M90" s="234">
        <v>377119</v>
      </c>
      <c r="N90" s="236" t="s">
        <v>298</v>
      </c>
      <c r="O90" s="234">
        <v>0</v>
      </c>
      <c r="P90" s="236"/>
    </row>
    <row r="91" spans="1:16" ht="30" customHeight="1" x14ac:dyDescent="0.3">
      <c r="A91" s="238">
        <v>14424</v>
      </c>
      <c r="B91" s="238" t="s">
        <v>186</v>
      </c>
      <c r="C91" s="238" t="s">
        <v>83</v>
      </c>
      <c r="D91" s="238">
        <v>14288</v>
      </c>
      <c r="E91" s="238">
        <v>2026</v>
      </c>
      <c r="F91" s="238" t="s">
        <v>276</v>
      </c>
      <c r="G91" s="238">
        <v>3</v>
      </c>
      <c r="H91" s="238">
        <v>9</v>
      </c>
      <c r="I91" s="238" t="s">
        <v>705</v>
      </c>
      <c r="J91" s="94">
        <v>356879</v>
      </c>
      <c r="K91" s="239">
        <v>0</v>
      </c>
      <c r="L91" s="241"/>
      <c r="M91" s="239">
        <v>0</v>
      </c>
      <c r="N91" s="241"/>
      <c r="O91" s="239">
        <v>356879</v>
      </c>
      <c r="P91" s="241" t="s">
        <v>316</v>
      </c>
    </row>
    <row r="92" spans="1:16" ht="30" customHeight="1" x14ac:dyDescent="0.3">
      <c r="A92" s="233">
        <v>14288</v>
      </c>
      <c r="B92" s="233" t="s">
        <v>183</v>
      </c>
      <c r="C92" s="233" t="s">
        <v>75</v>
      </c>
      <c r="D92" s="233">
        <v>14288</v>
      </c>
      <c r="E92" s="233">
        <v>2026</v>
      </c>
      <c r="F92" s="233" t="s">
        <v>276</v>
      </c>
      <c r="G92" s="233">
        <v>3</v>
      </c>
      <c r="H92" s="233">
        <v>9</v>
      </c>
      <c r="I92" s="233" t="s">
        <v>705</v>
      </c>
      <c r="J92" s="64">
        <v>71261580</v>
      </c>
      <c r="K92" s="234">
        <v>38561357</v>
      </c>
      <c r="L92" s="236" t="s">
        <v>298</v>
      </c>
      <c r="M92" s="234">
        <v>32332299</v>
      </c>
      <c r="N92" s="236" t="s">
        <v>298</v>
      </c>
      <c r="O92" s="234">
        <v>367924</v>
      </c>
      <c r="P92" s="236" t="s">
        <v>298</v>
      </c>
    </row>
    <row r="93" spans="1:16" ht="30" customHeight="1" x14ac:dyDescent="0.3">
      <c r="A93" s="238">
        <v>16532</v>
      </c>
      <c r="B93" s="238" t="s">
        <v>188</v>
      </c>
      <c r="C93" s="238" t="s">
        <v>83</v>
      </c>
      <c r="D93" s="238">
        <v>14288</v>
      </c>
      <c r="E93" s="238">
        <v>2026</v>
      </c>
      <c r="F93" s="238" t="s">
        <v>276</v>
      </c>
      <c r="G93" s="238">
        <v>3</v>
      </c>
      <c r="H93" s="238">
        <v>9</v>
      </c>
      <c r="I93" s="238" t="s">
        <v>705</v>
      </c>
      <c r="J93" s="94">
        <v>0</v>
      </c>
      <c r="K93" s="239">
        <v>0</v>
      </c>
      <c r="L93" s="241"/>
      <c r="M93" s="239">
        <v>0</v>
      </c>
      <c r="N93" s="241"/>
      <c r="O93" s="239">
        <v>0</v>
      </c>
      <c r="P93" s="241"/>
    </row>
    <row r="94" spans="1:16" ht="30" customHeight="1" x14ac:dyDescent="0.3">
      <c r="A94" s="233">
        <v>14425</v>
      </c>
      <c r="B94" s="233" t="s">
        <v>187</v>
      </c>
      <c r="C94" s="233" t="s">
        <v>83</v>
      </c>
      <c r="D94" s="233">
        <v>14288</v>
      </c>
      <c r="E94" s="233">
        <v>2026</v>
      </c>
      <c r="F94" s="233" t="s">
        <v>276</v>
      </c>
      <c r="G94" s="233">
        <v>3</v>
      </c>
      <c r="H94" s="233">
        <v>9</v>
      </c>
      <c r="I94" s="233" t="s">
        <v>705</v>
      </c>
      <c r="J94" s="64">
        <v>0</v>
      </c>
      <c r="K94" s="234">
        <v>0</v>
      </c>
      <c r="L94" s="236"/>
      <c r="M94" s="234">
        <v>0</v>
      </c>
      <c r="N94" s="236"/>
      <c r="O94" s="234">
        <v>0</v>
      </c>
      <c r="P94" s="236"/>
    </row>
    <row r="95" spans="1:16" ht="30" customHeight="1" x14ac:dyDescent="0.3">
      <c r="A95" s="238">
        <v>16533</v>
      </c>
      <c r="B95" s="238" t="s">
        <v>189</v>
      </c>
      <c r="C95" s="238" t="s">
        <v>83</v>
      </c>
      <c r="D95" s="238">
        <v>14288</v>
      </c>
      <c r="E95" s="238">
        <v>2026</v>
      </c>
      <c r="F95" s="238" t="s">
        <v>276</v>
      </c>
      <c r="G95" s="238">
        <v>3</v>
      </c>
      <c r="H95" s="238">
        <v>9</v>
      </c>
      <c r="I95" s="238" t="s">
        <v>705</v>
      </c>
      <c r="J95" s="94">
        <v>0</v>
      </c>
      <c r="K95" s="239">
        <v>0</v>
      </c>
      <c r="L95" s="241"/>
      <c r="M95" s="239">
        <v>0</v>
      </c>
      <c r="N95" s="241"/>
      <c r="O95" s="239">
        <v>0</v>
      </c>
      <c r="P95" s="241"/>
    </row>
    <row r="96" spans="1:16" ht="30" customHeight="1" x14ac:dyDescent="0.3">
      <c r="A96" s="233">
        <v>12151</v>
      </c>
      <c r="B96" s="233" t="s">
        <v>185</v>
      </c>
      <c r="C96" s="233" t="s">
        <v>83</v>
      </c>
      <c r="D96" s="233">
        <v>14288</v>
      </c>
      <c r="E96" s="233">
        <v>2026</v>
      </c>
      <c r="F96" s="233" t="s">
        <v>276</v>
      </c>
      <c r="G96" s="233">
        <v>3</v>
      </c>
      <c r="H96" s="233">
        <v>9</v>
      </c>
      <c r="I96" s="233" t="s">
        <v>705</v>
      </c>
      <c r="J96" s="64">
        <v>85362</v>
      </c>
      <c r="K96" s="234">
        <v>0</v>
      </c>
      <c r="L96" s="236"/>
      <c r="M96" s="234">
        <v>0</v>
      </c>
      <c r="N96" s="236"/>
      <c r="O96" s="234">
        <v>85362</v>
      </c>
      <c r="P96" s="236" t="s">
        <v>316</v>
      </c>
    </row>
    <row r="97" spans="1:16" ht="30" customHeight="1" x14ac:dyDescent="0.3">
      <c r="A97" s="238">
        <v>11801</v>
      </c>
      <c r="B97" s="238" t="s">
        <v>102</v>
      </c>
      <c r="C97" s="238" t="s">
        <v>83</v>
      </c>
      <c r="D97" s="238">
        <v>16665</v>
      </c>
      <c r="E97" s="238">
        <v>2026</v>
      </c>
      <c r="F97" s="238" t="s">
        <v>275</v>
      </c>
      <c r="G97" s="238">
        <v>2</v>
      </c>
      <c r="H97" s="238">
        <v>6</v>
      </c>
      <c r="I97" s="238" t="s">
        <v>703</v>
      </c>
      <c r="J97" s="94">
        <v>5289.01</v>
      </c>
      <c r="K97" s="239">
        <v>2010.42</v>
      </c>
      <c r="L97" s="241" t="s">
        <v>298</v>
      </c>
      <c r="M97" s="239">
        <v>3278.59</v>
      </c>
      <c r="N97" s="241" t="s">
        <v>298</v>
      </c>
      <c r="O97" s="239">
        <v>0</v>
      </c>
      <c r="P97" s="241" t="s">
        <v>298</v>
      </c>
    </row>
    <row r="98" spans="1:16" ht="30" customHeight="1" x14ac:dyDescent="0.3">
      <c r="A98" s="233">
        <v>8702</v>
      </c>
      <c r="B98" s="233" t="s">
        <v>95</v>
      </c>
      <c r="C98" s="233" t="s">
        <v>77</v>
      </c>
      <c r="D98" s="233">
        <v>16665</v>
      </c>
      <c r="E98" s="233">
        <v>2026</v>
      </c>
      <c r="F98" s="233" t="s">
        <v>275</v>
      </c>
      <c r="G98" s="233">
        <v>2</v>
      </c>
      <c r="H98" s="233">
        <v>6</v>
      </c>
      <c r="I98" s="233" t="s">
        <v>703</v>
      </c>
      <c r="J98" s="64">
        <v>6752020</v>
      </c>
      <c r="K98" s="234">
        <v>4026262</v>
      </c>
      <c r="L98" s="236" t="s">
        <v>298</v>
      </c>
      <c r="M98" s="234">
        <v>2725758</v>
      </c>
      <c r="N98" s="236" t="s">
        <v>298</v>
      </c>
      <c r="O98" s="234">
        <v>0</v>
      </c>
      <c r="P98" s="236" t="s">
        <v>298</v>
      </c>
    </row>
    <row r="99" spans="1:16" ht="30" customHeight="1" x14ac:dyDescent="0.3">
      <c r="A99" s="238">
        <v>12022</v>
      </c>
      <c r="B99" s="238" t="s">
        <v>112</v>
      </c>
      <c r="C99" s="238" t="s">
        <v>83</v>
      </c>
      <c r="D99" s="238">
        <v>16665</v>
      </c>
      <c r="E99" s="238">
        <v>2026</v>
      </c>
      <c r="F99" s="238" t="s">
        <v>275</v>
      </c>
      <c r="G99" s="238">
        <v>2</v>
      </c>
      <c r="H99" s="238">
        <v>6</v>
      </c>
      <c r="I99" s="238" t="s">
        <v>703</v>
      </c>
      <c r="J99" s="94">
        <v>0</v>
      </c>
      <c r="K99" s="239">
        <v>0</v>
      </c>
      <c r="L99" s="241" t="s">
        <v>298</v>
      </c>
      <c r="M99" s="239">
        <v>0</v>
      </c>
      <c r="N99" s="241" t="s">
        <v>298</v>
      </c>
      <c r="O99" s="239">
        <v>0</v>
      </c>
      <c r="P99" s="241" t="s">
        <v>298</v>
      </c>
    </row>
    <row r="100" spans="1:16" ht="30" customHeight="1" x14ac:dyDescent="0.3">
      <c r="A100" s="233">
        <v>11408</v>
      </c>
      <c r="B100" s="233" t="s">
        <v>110</v>
      </c>
      <c r="C100" s="233" t="s">
        <v>83</v>
      </c>
      <c r="D100" s="233">
        <v>16665</v>
      </c>
      <c r="E100" s="233">
        <v>2026</v>
      </c>
      <c r="F100" s="233" t="s">
        <v>275</v>
      </c>
      <c r="G100" s="233">
        <v>2</v>
      </c>
      <c r="H100" s="233">
        <v>6</v>
      </c>
      <c r="I100" s="233" t="s">
        <v>703</v>
      </c>
      <c r="J100" s="64">
        <v>0</v>
      </c>
      <c r="K100" s="234">
        <v>0</v>
      </c>
      <c r="L100" s="236" t="s">
        <v>298</v>
      </c>
      <c r="M100" s="234">
        <v>0</v>
      </c>
      <c r="N100" s="236" t="s">
        <v>298</v>
      </c>
      <c r="O100" s="234">
        <v>0</v>
      </c>
      <c r="P100" s="236" t="s">
        <v>298</v>
      </c>
    </row>
    <row r="101" spans="1:16" ht="30" customHeight="1" x14ac:dyDescent="0.3">
      <c r="A101" s="238">
        <v>12037</v>
      </c>
      <c r="B101" s="238" t="s">
        <v>105</v>
      </c>
      <c r="C101" s="238" t="s">
        <v>83</v>
      </c>
      <c r="D101" s="238">
        <v>16665</v>
      </c>
      <c r="E101" s="238">
        <v>2026</v>
      </c>
      <c r="F101" s="238" t="s">
        <v>275</v>
      </c>
      <c r="G101" s="238">
        <v>2</v>
      </c>
      <c r="H101" s="238">
        <v>6</v>
      </c>
      <c r="I101" s="238" t="s">
        <v>703</v>
      </c>
      <c r="J101" s="94">
        <v>0</v>
      </c>
      <c r="K101" s="239">
        <v>0</v>
      </c>
      <c r="L101" s="241" t="s">
        <v>298</v>
      </c>
      <c r="M101" s="239">
        <v>0</v>
      </c>
      <c r="N101" s="241" t="s">
        <v>298</v>
      </c>
      <c r="O101" s="239">
        <v>0</v>
      </c>
      <c r="P101" s="241" t="s">
        <v>298</v>
      </c>
    </row>
    <row r="102" spans="1:16" ht="30" customHeight="1" x14ac:dyDescent="0.3">
      <c r="A102" s="233">
        <v>11915</v>
      </c>
      <c r="B102" s="233" t="s">
        <v>111</v>
      </c>
      <c r="C102" s="233" t="s">
        <v>83</v>
      </c>
      <c r="D102" s="233">
        <v>16665</v>
      </c>
      <c r="E102" s="233">
        <v>2026</v>
      </c>
      <c r="F102" s="233" t="s">
        <v>275</v>
      </c>
      <c r="G102" s="233">
        <v>2</v>
      </c>
      <c r="H102" s="233">
        <v>6</v>
      </c>
      <c r="I102" s="233" t="s">
        <v>703</v>
      </c>
      <c r="J102" s="64">
        <v>0</v>
      </c>
      <c r="K102" s="234">
        <v>0</v>
      </c>
      <c r="L102" s="236" t="s">
        <v>298</v>
      </c>
      <c r="M102" s="234">
        <v>0</v>
      </c>
      <c r="N102" s="236" t="s">
        <v>298</v>
      </c>
      <c r="O102" s="234">
        <v>0</v>
      </c>
      <c r="P102" s="236" t="s">
        <v>298</v>
      </c>
    </row>
    <row r="103" spans="1:16" ht="30" customHeight="1" x14ac:dyDescent="0.3">
      <c r="A103" s="238">
        <v>14422</v>
      </c>
      <c r="B103" s="238" t="s">
        <v>107</v>
      </c>
      <c r="C103" s="238" t="s">
        <v>83</v>
      </c>
      <c r="D103" s="238">
        <v>16665</v>
      </c>
      <c r="E103" s="238">
        <v>2026</v>
      </c>
      <c r="F103" s="238" t="s">
        <v>275</v>
      </c>
      <c r="G103" s="238">
        <v>2</v>
      </c>
      <c r="H103" s="238">
        <v>6</v>
      </c>
      <c r="I103" s="238" t="s">
        <v>703</v>
      </c>
      <c r="J103" s="94">
        <v>0</v>
      </c>
      <c r="K103" s="239">
        <v>0</v>
      </c>
      <c r="L103" s="241" t="s">
        <v>298</v>
      </c>
      <c r="M103" s="239">
        <v>0</v>
      </c>
      <c r="N103" s="241" t="s">
        <v>298</v>
      </c>
      <c r="O103" s="239">
        <v>0</v>
      </c>
      <c r="P103" s="241" t="s">
        <v>298</v>
      </c>
    </row>
    <row r="104" spans="1:16" ht="30" customHeight="1" x14ac:dyDescent="0.3">
      <c r="A104" s="233">
        <v>53</v>
      </c>
      <c r="B104" s="233" t="s">
        <v>93</v>
      </c>
      <c r="C104" s="233" t="s">
        <v>77</v>
      </c>
      <c r="D104" s="233">
        <v>16665</v>
      </c>
      <c r="E104" s="233">
        <v>2026</v>
      </c>
      <c r="F104" s="233" t="s">
        <v>275</v>
      </c>
      <c r="G104" s="233">
        <v>2</v>
      </c>
      <c r="H104" s="233">
        <v>6</v>
      </c>
      <c r="I104" s="233" t="s">
        <v>703</v>
      </c>
      <c r="J104" s="64">
        <v>808189</v>
      </c>
      <c r="K104" s="234">
        <v>675360</v>
      </c>
      <c r="L104" s="236" t="s">
        <v>298</v>
      </c>
      <c r="M104" s="234">
        <v>132829</v>
      </c>
      <c r="N104" s="236" t="s">
        <v>298</v>
      </c>
      <c r="O104" s="234">
        <v>0</v>
      </c>
      <c r="P104" s="236" t="s">
        <v>298</v>
      </c>
    </row>
    <row r="105" spans="1:16" ht="30" customHeight="1" x14ac:dyDescent="0.3">
      <c r="A105" s="238">
        <v>6546</v>
      </c>
      <c r="B105" s="238" t="s">
        <v>96</v>
      </c>
      <c r="C105" s="238" t="s">
        <v>77</v>
      </c>
      <c r="D105" s="238">
        <v>16665</v>
      </c>
      <c r="E105" s="238">
        <v>2026</v>
      </c>
      <c r="F105" s="238" t="s">
        <v>275</v>
      </c>
      <c r="G105" s="238">
        <v>2</v>
      </c>
      <c r="H105" s="238">
        <v>6</v>
      </c>
      <c r="I105" s="238" t="s">
        <v>703</v>
      </c>
      <c r="J105" s="94">
        <v>12893119</v>
      </c>
      <c r="K105" s="239">
        <v>9902600</v>
      </c>
      <c r="L105" s="241" t="s">
        <v>298</v>
      </c>
      <c r="M105" s="239">
        <v>2990519</v>
      </c>
      <c r="N105" s="241" t="s">
        <v>298</v>
      </c>
      <c r="O105" s="239">
        <v>0</v>
      </c>
      <c r="P105" s="241" t="s">
        <v>298</v>
      </c>
    </row>
    <row r="106" spans="1:16" ht="30" customHeight="1" x14ac:dyDescent="0.3">
      <c r="A106" s="233">
        <v>11761</v>
      </c>
      <c r="B106" s="233" t="s">
        <v>103</v>
      </c>
      <c r="C106" s="233" t="s">
        <v>83</v>
      </c>
      <c r="D106" s="233">
        <v>16665</v>
      </c>
      <c r="E106" s="233">
        <v>2026</v>
      </c>
      <c r="F106" s="233" t="s">
        <v>275</v>
      </c>
      <c r="G106" s="233">
        <v>2</v>
      </c>
      <c r="H106" s="233">
        <v>6</v>
      </c>
      <c r="I106" s="233" t="s">
        <v>703</v>
      </c>
      <c r="J106" s="64">
        <v>0</v>
      </c>
      <c r="K106" s="234">
        <v>0</v>
      </c>
      <c r="L106" s="236" t="s">
        <v>298</v>
      </c>
      <c r="M106" s="234">
        <v>0</v>
      </c>
      <c r="N106" s="236" t="s">
        <v>298</v>
      </c>
      <c r="O106" s="234">
        <v>0</v>
      </c>
      <c r="P106" s="236" t="s">
        <v>298</v>
      </c>
    </row>
    <row r="107" spans="1:16" ht="30" customHeight="1" x14ac:dyDescent="0.3">
      <c r="A107" s="238">
        <v>138</v>
      </c>
      <c r="B107" s="238" t="s">
        <v>101</v>
      </c>
      <c r="C107" s="238" t="s">
        <v>77</v>
      </c>
      <c r="D107" s="238">
        <v>16665</v>
      </c>
      <c r="E107" s="238">
        <v>2026</v>
      </c>
      <c r="F107" s="238" t="s">
        <v>275</v>
      </c>
      <c r="G107" s="238">
        <v>2</v>
      </c>
      <c r="H107" s="238">
        <v>6</v>
      </c>
      <c r="I107" s="238" t="s">
        <v>703</v>
      </c>
      <c r="J107" s="94">
        <v>501530</v>
      </c>
      <c r="K107" s="239">
        <v>247592</v>
      </c>
      <c r="L107" s="241" t="s">
        <v>298</v>
      </c>
      <c r="M107" s="239">
        <v>253938</v>
      </c>
      <c r="N107" s="241" t="s">
        <v>298</v>
      </c>
      <c r="O107" s="239">
        <v>0</v>
      </c>
      <c r="P107" s="241" t="s">
        <v>298</v>
      </c>
    </row>
    <row r="108" spans="1:16" ht="30" customHeight="1" x14ac:dyDescent="0.3">
      <c r="A108" s="233">
        <v>16665</v>
      </c>
      <c r="B108" s="233" t="s">
        <v>90</v>
      </c>
      <c r="C108" s="233" t="s">
        <v>75</v>
      </c>
      <c r="D108" s="233">
        <v>16665</v>
      </c>
      <c r="E108" s="233">
        <v>2026</v>
      </c>
      <c r="F108" s="233" t="s">
        <v>275</v>
      </c>
      <c r="G108" s="233">
        <v>2</v>
      </c>
      <c r="H108" s="233">
        <v>6</v>
      </c>
      <c r="I108" s="233" t="s">
        <v>703</v>
      </c>
      <c r="J108" s="64">
        <v>53032532.939999998</v>
      </c>
      <c r="K108" s="234">
        <v>23609607.699999999</v>
      </c>
      <c r="L108" s="236" t="s">
        <v>298</v>
      </c>
      <c r="M108" s="234">
        <v>11980710.24</v>
      </c>
      <c r="N108" s="236" t="s">
        <v>298</v>
      </c>
      <c r="O108" s="234">
        <v>17442215</v>
      </c>
      <c r="P108" s="236" t="s">
        <v>298</v>
      </c>
    </row>
    <row r="109" spans="1:16" ht="30" customHeight="1" x14ac:dyDescent="0.3">
      <c r="A109" s="238">
        <v>1</v>
      </c>
      <c r="B109" s="238" t="s">
        <v>91</v>
      </c>
      <c r="C109" s="238" t="s">
        <v>77</v>
      </c>
      <c r="D109" s="238">
        <v>16665</v>
      </c>
      <c r="E109" s="238">
        <v>2026</v>
      </c>
      <c r="F109" s="238" t="s">
        <v>275</v>
      </c>
      <c r="G109" s="238">
        <v>2</v>
      </c>
      <c r="H109" s="238">
        <v>6</v>
      </c>
      <c r="I109" s="238" t="s">
        <v>703</v>
      </c>
      <c r="J109" s="94">
        <v>1127971.9300000002</v>
      </c>
      <c r="K109" s="239">
        <v>859224.28</v>
      </c>
      <c r="L109" s="241" t="s">
        <v>298</v>
      </c>
      <c r="M109" s="239">
        <v>268747.65000000002</v>
      </c>
      <c r="N109" s="241" t="s">
        <v>298</v>
      </c>
      <c r="O109" s="239">
        <v>0</v>
      </c>
      <c r="P109" s="241" t="s">
        <v>298</v>
      </c>
    </row>
    <row r="110" spans="1:16" ht="30" customHeight="1" x14ac:dyDescent="0.3">
      <c r="A110" s="233">
        <v>8655</v>
      </c>
      <c r="B110" s="233" t="s">
        <v>109</v>
      </c>
      <c r="C110" s="233" t="s">
        <v>83</v>
      </c>
      <c r="D110" s="233">
        <v>16665</v>
      </c>
      <c r="E110" s="233">
        <v>2026</v>
      </c>
      <c r="F110" s="233" t="s">
        <v>275</v>
      </c>
      <c r="G110" s="233">
        <v>2</v>
      </c>
      <c r="H110" s="233">
        <v>6</v>
      </c>
      <c r="I110" s="233" t="s">
        <v>703</v>
      </c>
      <c r="J110" s="64">
        <v>0</v>
      </c>
      <c r="K110" s="234">
        <v>0</v>
      </c>
      <c r="L110" s="236" t="s">
        <v>298</v>
      </c>
      <c r="M110" s="234">
        <v>0</v>
      </c>
      <c r="N110" s="236" t="s">
        <v>298</v>
      </c>
      <c r="O110" s="234">
        <v>0</v>
      </c>
      <c r="P110" s="236" t="s">
        <v>298</v>
      </c>
    </row>
    <row r="111" spans="1:16" ht="30" customHeight="1" x14ac:dyDescent="0.3">
      <c r="A111" s="238">
        <v>100</v>
      </c>
      <c r="B111" s="238" t="s">
        <v>97</v>
      </c>
      <c r="C111" s="238" t="s">
        <v>77</v>
      </c>
      <c r="D111" s="238">
        <v>16665</v>
      </c>
      <c r="E111" s="238">
        <v>2026</v>
      </c>
      <c r="F111" s="238" t="s">
        <v>275</v>
      </c>
      <c r="G111" s="238">
        <v>2</v>
      </c>
      <c r="H111" s="238">
        <v>6</v>
      </c>
      <c r="I111" s="238" t="s">
        <v>703</v>
      </c>
      <c r="J111" s="94">
        <v>9384554</v>
      </c>
      <c r="K111" s="239">
        <v>2400696</v>
      </c>
      <c r="L111" s="241" t="s">
        <v>298</v>
      </c>
      <c r="M111" s="239">
        <v>2291581</v>
      </c>
      <c r="N111" s="241" t="s">
        <v>298</v>
      </c>
      <c r="O111" s="239">
        <v>4692277</v>
      </c>
      <c r="P111" s="241" t="s">
        <v>298</v>
      </c>
    </row>
    <row r="112" spans="1:16" ht="30" customHeight="1" x14ac:dyDescent="0.3">
      <c r="A112" s="233">
        <v>103</v>
      </c>
      <c r="B112" s="233" t="s">
        <v>98</v>
      </c>
      <c r="C112" s="233" t="s">
        <v>77</v>
      </c>
      <c r="D112" s="233">
        <v>16665</v>
      </c>
      <c r="E112" s="233">
        <v>2026</v>
      </c>
      <c r="F112" s="233" t="s">
        <v>275</v>
      </c>
      <c r="G112" s="233">
        <v>2</v>
      </c>
      <c r="H112" s="233">
        <v>6</v>
      </c>
      <c r="I112" s="233" t="s">
        <v>703</v>
      </c>
      <c r="J112" s="64">
        <v>590348</v>
      </c>
      <c r="K112" s="234">
        <v>417158</v>
      </c>
      <c r="L112" s="236" t="s">
        <v>298</v>
      </c>
      <c r="M112" s="234">
        <v>173190</v>
      </c>
      <c r="N112" s="236" t="s">
        <v>298</v>
      </c>
      <c r="O112" s="234">
        <v>0</v>
      </c>
      <c r="P112" s="236" t="s">
        <v>298</v>
      </c>
    </row>
    <row r="113" spans="1:16" ht="30" customHeight="1" x14ac:dyDescent="0.3">
      <c r="A113" s="238">
        <v>14421</v>
      </c>
      <c r="B113" s="238" t="s">
        <v>106</v>
      </c>
      <c r="C113" s="238" t="s">
        <v>83</v>
      </c>
      <c r="D113" s="238">
        <v>16665</v>
      </c>
      <c r="E113" s="238">
        <v>2026</v>
      </c>
      <c r="F113" s="238" t="s">
        <v>275</v>
      </c>
      <c r="G113" s="238">
        <v>2</v>
      </c>
      <c r="H113" s="238">
        <v>6</v>
      </c>
      <c r="I113" s="238" t="s">
        <v>703</v>
      </c>
      <c r="J113" s="94">
        <v>1227821</v>
      </c>
      <c r="K113" s="239">
        <v>0</v>
      </c>
      <c r="L113" s="241" t="s">
        <v>298</v>
      </c>
      <c r="M113" s="239">
        <v>0</v>
      </c>
      <c r="N113" s="241" t="s">
        <v>298</v>
      </c>
      <c r="O113" s="239">
        <v>1227821</v>
      </c>
      <c r="P113" s="241" t="s">
        <v>298</v>
      </c>
    </row>
    <row r="114" spans="1:16" ht="30" customHeight="1" x14ac:dyDescent="0.3">
      <c r="A114" s="233">
        <v>9914</v>
      </c>
      <c r="B114" s="233" t="s">
        <v>104</v>
      </c>
      <c r="C114" s="233" t="s">
        <v>83</v>
      </c>
      <c r="D114" s="233">
        <v>16665</v>
      </c>
      <c r="E114" s="233">
        <v>2026</v>
      </c>
      <c r="F114" s="233" t="s">
        <v>275</v>
      </c>
      <c r="G114" s="233">
        <v>2</v>
      </c>
      <c r="H114" s="233">
        <v>6</v>
      </c>
      <c r="I114" s="233" t="s">
        <v>703</v>
      </c>
      <c r="J114" s="64">
        <v>12604137</v>
      </c>
      <c r="K114" s="234">
        <v>56761</v>
      </c>
      <c r="L114" s="236" t="s">
        <v>298</v>
      </c>
      <c r="M114" s="234">
        <v>1025259</v>
      </c>
      <c r="N114" s="236" t="s">
        <v>298</v>
      </c>
      <c r="O114" s="234">
        <v>11522117</v>
      </c>
      <c r="P114" s="236" t="s">
        <v>298</v>
      </c>
    </row>
    <row r="115" spans="1:16" ht="30" customHeight="1" x14ac:dyDescent="0.3">
      <c r="A115" s="238">
        <v>79</v>
      </c>
      <c r="B115" s="238" t="s">
        <v>94</v>
      </c>
      <c r="C115" s="238" t="s">
        <v>77</v>
      </c>
      <c r="D115" s="238">
        <v>16665</v>
      </c>
      <c r="E115" s="238">
        <v>2026</v>
      </c>
      <c r="F115" s="238" t="s">
        <v>275</v>
      </c>
      <c r="G115" s="238">
        <v>2</v>
      </c>
      <c r="H115" s="238">
        <v>6</v>
      </c>
      <c r="I115" s="238" t="s">
        <v>703</v>
      </c>
      <c r="J115" s="94">
        <v>2676139</v>
      </c>
      <c r="K115" s="239">
        <v>1630086</v>
      </c>
      <c r="L115" s="241" t="s">
        <v>298</v>
      </c>
      <c r="M115" s="239">
        <v>1046053</v>
      </c>
      <c r="N115" s="241" t="s">
        <v>298</v>
      </c>
      <c r="O115" s="239">
        <v>0</v>
      </c>
      <c r="P115" s="241" t="s">
        <v>298</v>
      </c>
    </row>
    <row r="116" spans="1:16" ht="30" customHeight="1" x14ac:dyDescent="0.3">
      <c r="A116" s="233">
        <v>98</v>
      </c>
      <c r="B116" s="233" t="s">
        <v>92</v>
      </c>
      <c r="C116" s="233" t="s">
        <v>77</v>
      </c>
      <c r="D116" s="233">
        <v>16665</v>
      </c>
      <c r="E116" s="233">
        <v>2026</v>
      </c>
      <c r="F116" s="233" t="s">
        <v>275</v>
      </c>
      <c r="G116" s="233">
        <v>2</v>
      </c>
      <c r="H116" s="233">
        <v>6</v>
      </c>
      <c r="I116" s="233" t="s">
        <v>703</v>
      </c>
      <c r="J116" s="64">
        <v>1153036</v>
      </c>
      <c r="K116" s="234">
        <v>1022047</v>
      </c>
      <c r="L116" s="236" t="s">
        <v>298</v>
      </c>
      <c r="M116" s="234">
        <v>130989</v>
      </c>
      <c r="N116" s="236" t="s">
        <v>298</v>
      </c>
      <c r="O116" s="234">
        <v>0</v>
      </c>
      <c r="P116" s="236" t="s">
        <v>298</v>
      </c>
    </row>
    <row r="117" spans="1:16" ht="30" customHeight="1" x14ac:dyDescent="0.3">
      <c r="A117" s="238">
        <v>11404</v>
      </c>
      <c r="B117" s="238" t="s">
        <v>108</v>
      </c>
      <c r="C117" s="238" t="s">
        <v>83</v>
      </c>
      <c r="D117" s="238">
        <v>16665</v>
      </c>
      <c r="E117" s="238">
        <v>2026</v>
      </c>
      <c r="F117" s="238" t="s">
        <v>275</v>
      </c>
      <c r="G117" s="238">
        <v>2</v>
      </c>
      <c r="H117" s="238">
        <v>6</v>
      </c>
      <c r="I117" s="238" t="s">
        <v>703</v>
      </c>
      <c r="J117" s="94">
        <v>32119</v>
      </c>
      <c r="K117" s="239">
        <v>0</v>
      </c>
      <c r="L117" s="241" t="s">
        <v>298</v>
      </c>
      <c r="M117" s="239">
        <v>32119</v>
      </c>
      <c r="N117" s="241" t="s">
        <v>298</v>
      </c>
      <c r="O117" s="239">
        <v>0</v>
      </c>
      <c r="P117" s="241" t="s">
        <v>298</v>
      </c>
    </row>
    <row r="118" spans="1:16" ht="30" customHeight="1" x14ac:dyDescent="0.3">
      <c r="A118" s="233">
        <v>3112</v>
      </c>
      <c r="B118" s="233" t="s">
        <v>100</v>
      </c>
      <c r="C118" s="233" t="s">
        <v>77</v>
      </c>
      <c r="D118" s="233">
        <v>16665</v>
      </c>
      <c r="E118" s="233">
        <v>2026</v>
      </c>
      <c r="F118" s="233" t="s">
        <v>275</v>
      </c>
      <c r="G118" s="233">
        <v>2</v>
      </c>
      <c r="H118" s="233">
        <v>6</v>
      </c>
      <c r="I118" s="233" t="s">
        <v>703</v>
      </c>
      <c r="J118" s="64">
        <v>3276260</v>
      </c>
      <c r="K118" s="234">
        <v>2369811</v>
      </c>
      <c r="L118" s="236" t="s">
        <v>298</v>
      </c>
      <c r="M118" s="234">
        <v>906449</v>
      </c>
      <c r="N118" s="236" t="s">
        <v>298</v>
      </c>
      <c r="O118" s="234">
        <v>0</v>
      </c>
      <c r="P118" s="236" t="s">
        <v>298</v>
      </c>
    </row>
    <row r="119" spans="1:16" ht="30" customHeight="1" x14ac:dyDescent="0.3">
      <c r="A119" s="238">
        <v>99</v>
      </c>
      <c r="B119" s="238" t="s">
        <v>173</v>
      </c>
      <c r="C119" s="238" t="s">
        <v>77</v>
      </c>
      <c r="D119" s="238">
        <v>22350</v>
      </c>
      <c r="E119" s="238">
        <v>2026</v>
      </c>
      <c r="F119" s="238" t="s">
        <v>275</v>
      </c>
      <c r="G119" s="238">
        <v>2</v>
      </c>
      <c r="H119" s="238">
        <v>6</v>
      </c>
      <c r="I119" s="238" t="s">
        <v>703</v>
      </c>
      <c r="J119" s="94">
        <v>1622000</v>
      </c>
      <c r="K119" s="239">
        <v>0</v>
      </c>
      <c r="L119" s="241"/>
      <c r="M119" s="239">
        <v>1622000</v>
      </c>
      <c r="N119" s="241" t="s">
        <v>298</v>
      </c>
      <c r="O119" s="239">
        <v>0</v>
      </c>
      <c r="P119" s="93"/>
    </row>
    <row r="120" spans="1:16" ht="30" customHeight="1" x14ac:dyDescent="0.3">
      <c r="A120" s="233">
        <v>22350</v>
      </c>
      <c r="B120" s="233" t="s">
        <v>174</v>
      </c>
      <c r="C120" s="233" t="s">
        <v>75</v>
      </c>
      <c r="D120" s="233">
        <v>22350</v>
      </c>
      <c r="E120" s="233">
        <v>2026</v>
      </c>
      <c r="F120" s="233" t="s">
        <v>275</v>
      </c>
      <c r="G120" s="233">
        <v>2</v>
      </c>
      <c r="H120" s="233">
        <v>6</v>
      </c>
      <c r="I120" s="233" t="s">
        <v>703</v>
      </c>
      <c r="J120" s="64">
        <v>51374000</v>
      </c>
      <c r="K120" s="234">
        <v>0</v>
      </c>
      <c r="L120" s="236"/>
      <c r="M120" s="234">
        <v>51374000</v>
      </c>
      <c r="N120" s="236" t="s">
        <v>298</v>
      </c>
      <c r="O120" s="234">
        <v>0</v>
      </c>
      <c r="P120" s="63"/>
    </row>
    <row r="121" spans="1:16" ht="30" customHeight="1" x14ac:dyDescent="0.3">
      <c r="A121" s="238">
        <v>114</v>
      </c>
      <c r="B121" s="238" t="s">
        <v>177</v>
      </c>
      <c r="C121" s="238" t="s">
        <v>77</v>
      </c>
      <c r="D121" s="238">
        <v>22350</v>
      </c>
      <c r="E121" s="238">
        <v>2026</v>
      </c>
      <c r="F121" s="238" t="s">
        <v>275</v>
      </c>
      <c r="G121" s="238">
        <v>2</v>
      </c>
      <c r="H121" s="238">
        <v>6</v>
      </c>
      <c r="I121" s="238" t="s">
        <v>703</v>
      </c>
      <c r="J121" s="94">
        <v>3070000</v>
      </c>
      <c r="K121" s="239">
        <v>0</v>
      </c>
      <c r="L121" s="241"/>
      <c r="M121" s="239">
        <v>3070000</v>
      </c>
      <c r="N121" s="241" t="s">
        <v>298</v>
      </c>
      <c r="O121" s="239">
        <v>0</v>
      </c>
      <c r="P121" s="63"/>
    </row>
    <row r="122" spans="1:16" ht="30" customHeight="1" x14ac:dyDescent="0.3">
      <c r="A122" s="59"/>
      <c r="B122" s="59"/>
      <c r="C122" s="59"/>
      <c r="D122" s="59"/>
      <c r="E122" s="59"/>
      <c r="F122" s="59"/>
      <c r="G122" s="59"/>
      <c r="H122" s="59"/>
      <c r="I122" s="59"/>
      <c r="J122" s="65"/>
      <c r="K122" s="65"/>
      <c r="L122" s="59"/>
      <c r="M122" s="65"/>
      <c r="N122" s="59"/>
      <c r="O122" s="65"/>
      <c r="P122" s="59"/>
    </row>
    <row r="123" spans="1:16" ht="30" customHeight="1" x14ac:dyDescent="0.3">
      <c r="A123" s="63"/>
      <c r="B123" s="63"/>
      <c r="C123" s="63"/>
      <c r="D123" s="63"/>
      <c r="E123" s="63"/>
      <c r="F123" s="63"/>
      <c r="G123" s="63"/>
      <c r="H123" s="63"/>
      <c r="I123" s="63"/>
      <c r="J123" s="64"/>
      <c r="K123" s="64"/>
      <c r="L123" s="63"/>
      <c r="M123" s="64"/>
      <c r="N123" s="63"/>
      <c r="O123" s="64"/>
      <c r="P123" s="63"/>
    </row>
    <row r="124" spans="1:16" ht="30" customHeight="1" x14ac:dyDescent="0.3">
      <c r="A124" s="59"/>
      <c r="B124" s="59"/>
      <c r="C124" s="59"/>
      <c r="D124" s="59"/>
      <c r="E124" s="59"/>
      <c r="F124" s="59"/>
      <c r="G124" s="59"/>
      <c r="H124" s="59"/>
      <c r="I124" s="59"/>
      <c r="J124" s="65"/>
      <c r="K124" s="65"/>
      <c r="L124" s="59"/>
      <c r="M124" s="65"/>
      <c r="N124" s="59"/>
      <c r="O124" s="65"/>
      <c r="P124" s="59"/>
    </row>
    <row r="125" spans="1:16" s="62" customFormat="1" ht="30" customHeight="1" x14ac:dyDescent="0.3">
      <c r="A125" s="58"/>
      <c r="B125" s="58"/>
      <c r="C125" s="58"/>
      <c r="D125" s="58"/>
      <c r="E125" s="58"/>
      <c r="F125" s="58"/>
      <c r="G125" s="58"/>
      <c r="H125" s="58"/>
      <c r="I125" s="58"/>
      <c r="J125" s="61"/>
      <c r="K125" s="61"/>
      <c r="L125" s="58"/>
      <c r="M125" s="61"/>
      <c r="N125" s="58"/>
      <c r="O125" s="61"/>
      <c r="P125" s="58"/>
    </row>
    <row r="126" spans="1:16" s="62" customFormat="1" ht="30" customHeight="1" x14ac:dyDescent="0.3">
      <c r="A126" s="58"/>
      <c r="B126" s="58"/>
      <c r="C126" s="58"/>
      <c r="D126" s="58"/>
      <c r="E126" s="58"/>
      <c r="F126" s="58"/>
      <c r="G126" s="58"/>
      <c r="H126" s="58"/>
      <c r="I126" s="58"/>
      <c r="J126" s="61"/>
      <c r="K126" s="61"/>
      <c r="L126" s="58"/>
      <c r="M126" s="61"/>
      <c r="N126" s="58"/>
      <c r="O126" s="61"/>
      <c r="P126" s="58"/>
    </row>
    <row r="127" spans="1:16" ht="30" customHeight="1" x14ac:dyDescent="0.3">
      <c r="A127" s="63"/>
      <c r="B127" s="63"/>
      <c r="C127" s="63"/>
      <c r="D127" s="63"/>
      <c r="E127" s="63"/>
      <c r="F127" s="63"/>
      <c r="G127" s="63"/>
      <c r="H127" s="63"/>
      <c r="I127" s="58"/>
      <c r="J127" s="64"/>
      <c r="K127" s="64"/>
      <c r="L127" s="63"/>
      <c r="M127" s="64"/>
      <c r="N127" s="63"/>
      <c r="O127" s="64"/>
      <c r="P127" s="63"/>
    </row>
    <row r="128" spans="1:16" ht="30" customHeight="1" x14ac:dyDescent="0.3">
      <c r="A128" s="59"/>
      <c r="B128" s="59"/>
      <c r="C128" s="59"/>
      <c r="D128" s="59"/>
      <c r="E128" s="59"/>
      <c r="F128" s="59"/>
      <c r="G128" s="59"/>
      <c r="H128" s="59"/>
      <c r="I128" s="59"/>
      <c r="J128" s="65"/>
      <c r="K128" s="65"/>
      <c r="L128" s="59"/>
      <c r="M128" s="65"/>
      <c r="N128" s="59"/>
      <c r="O128" s="65"/>
      <c r="P128" s="59"/>
    </row>
    <row r="129" spans="1:16" ht="30" customHeight="1" x14ac:dyDescent="0.3">
      <c r="A129" s="63"/>
      <c r="B129" s="63"/>
      <c r="C129" s="63"/>
      <c r="D129" s="63"/>
      <c r="E129" s="63"/>
      <c r="F129" s="63"/>
      <c r="G129" s="63"/>
      <c r="H129" s="63"/>
      <c r="I129" s="63"/>
      <c r="J129" s="64"/>
      <c r="K129" s="64"/>
      <c r="L129" s="63"/>
      <c r="M129" s="64"/>
      <c r="N129" s="63"/>
      <c r="O129" s="64"/>
      <c r="P129" s="63"/>
    </row>
    <row r="130" spans="1:16" ht="30" customHeight="1" x14ac:dyDescent="0.3">
      <c r="A130" s="59"/>
      <c r="B130" s="59"/>
      <c r="C130" s="59"/>
      <c r="D130" s="59"/>
      <c r="E130" s="59"/>
      <c r="F130" s="59"/>
      <c r="G130" s="59"/>
      <c r="H130" s="59"/>
      <c r="I130" s="59"/>
      <c r="J130" s="65"/>
      <c r="K130" s="65"/>
      <c r="L130" s="59"/>
      <c r="M130" s="65"/>
      <c r="N130" s="59"/>
      <c r="O130" s="65"/>
      <c r="P130" s="59"/>
    </row>
    <row r="131" spans="1:16" ht="30" customHeight="1" x14ac:dyDescent="0.3">
      <c r="A131" s="63"/>
      <c r="B131" s="63"/>
      <c r="C131" s="63"/>
      <c r="D131" s="63"/>
      <c r="E131" s="63"/>
      <c r="F131" s="63"/>
      <c r="G131" s="63"/>
      <c r="H131" s="63"/>
      <c r="I131" s="63"/>
      <c r="J131" s="64"/>
      <c r="K131" s="64"/>
      <c r="L131" s="63"/>
      <c r="M131" s="64"/>
      <c r="N131" s="63"/>
      <c r="O131" s="64"/>
      <c r="P131" s="63"/>
    </row>
    <row r="132" spans="1:16" ht="30" customHeight="1" x14ac:dyDescent="0.3">
      <c r="A132" s="59"/>
      <c r="B132" s="59"/>
      <c r="C132" s="59"/>
      <c r="D132" s="59"/>
      <c r="E132" s="59"/>
      <c r="F132" s="59"/>
      <c r="G132" s="59"/>
      <c r="H132" s="59"/>
      <c r="I132" s="59"/>
      <c r="J132" s="65"/>
      <c r="K132" s="65"/>
      <c r="L132" s="59"/>
      <c r="M132" s="65"/>
      <c r="N132" s="59"/>
      <c r="O132" s="65"/>
      <c r="P132" s="59"/>
    </row>
    <row r="133" spans="1:16" ht="30" customHeight="1" x14ac:dyDescent="0.3">
      <c r="A133" s="63"/>
      <c r="B133" s="63"/>
      <c r="C133" s="63"/>
      <c r="D133" s="63"/>
      <c r="E133" s="63"/>
      <c r="F133" s="63"/>
      <c r="G133" s="63"/>
      <c r="H133" s="63"/>
      <c r="I133" s="63"/>
      <c r="J133" s="64"/>
      <c r="K133" s="64"/>
      <c r="L133" s="63"/>
      <c r="M133" s="64"/>
      <c r="N133" s="63"/>
      <c r="O133" s="64"/>
      <c r="P133" s="63"/>
    </row>
  </sheetData>
  <autoFilter ref="A1:P1" xr:uid="{B188C3DA-FDB9-4F03-8D51-FA9A1E4816C2}"/>
  <sortState xmlns:xlrd2="http://schemas.microsoft.com/office/spreadsheetml/2017/richdata2" ref="A1:P118">
    <sortCondition ref="C2:C118"/>
    <sortCondition ref="B2:B118"/>
  </sortState>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DE2EA8-461C-4068-B4D6-810D8F9528AD}">
  <sheetPr codeName="Sheet6">
    <pageSetUpPr fitToPage="1"/>
  </sheetPr>
  <dimension ref="A1:D120"/>
  <sheetViews>
    <sheetView showGridLines="0" showRuler="0" zoomScaleNormal="100" workbookViewId="0"/>
  </sheetViews>
  <sheetFormatPr defaultColWidth="8.5546875" defaultRowHeight="14.4" x14ac:dyDescent="0.3"/>
  <cols>
    <col min="1" max="1" width="150.5546875" style="44" customWidth="1"/>
    <col min="2" max="2" width="17.44140625" customWidth="1"/>
    <col min="3" max="3" width="15.44140625" customWidth="1"/>
    <col min="4" max="4" width="16.44140625" customWidth="1"/>
    <col min="5" max="5" width="18.44140625" customWidth="1"/>
  </cols>
  <sheetData>
    <row r="1" spans="1:1" ht="64.8" x14ac:dyDescent="0.3">
      <c r="A1" s="166" t="s">
        <v>721</v>
      </c>
    </row>
    <row r="2" spans="1:1" ht="32.4" x14ac:dyDescent="0.3">
      <c r="A2" s="166"/>
    </row>
    <row r="3" spans="1:1" ht="20.399999999999999" x14ac:dyDescent="0.3">
      <c r="A3" s="90" t="s">
        <v>321</v>
      </c>
    </row>
    <row r="4" spans="1:1" ht="18" x14ac:dyDescent="0.3">
      <c r="A4" s="91"/>
    </row>
    <row r="5" spans="1:1" ht="25.2" x14ac:dyDescent="0.3">
      <c r="A5" s="185" t="s">
        <v>322</v>
      </c>
    </row>
    <row r="6" spans="1:1" s="168" customFormat="1" ht="15.6" x14ac:dyDescent="0.3">
      <c r="A6" s="167" t="s">
        <v>323</v>
      </c>
    </row>
    <row r="7" spans="1:1" s="168" customFormat="1" ht="15.6" x14ac:dyDescent="0.3">
      <c r="A7" s="167"/>
    </row>
    <row r="8" spans="1:1" s="168" customFormat="1" ht="20.399999999999999" x14ac:dyDescent="0.3">
      <c r="A8" s="183" t="s">
        <v>324</v>
      </c>
    </row>
    <row r="9" spans="1:1" s="168" customFormat="1" ht="15.6" x14ac:dyDescent="0.3">
      <c r="A9" s="169" t="s">
        <v>325</v>
      </c>
    </row>
    <row r="10" spans="1:1" s="168" customFormat="1" ht="25.35" customHeight="1" x14ac:dyDescent="0.3">
      <c r="A10" s="170" t="s">
        <v>326</v>
      </c>
    </row>
    <row r="11" spans="1:1" s="168" customFormat="1" ht="55.5" customHeight="1" x14ac:dyDescent="0.3">
      <c r="A11" s="171" t="s">
        <v>647</v>
      </c>
    </row>
    <row r="12" spans="1:1" s="168" customFormat="1" ht="42" customHeight="1" x14ac:dyDescent="0.3">
      <c r="A12" s="171" t="s">
        <v>648</v>
      </c>
    </row>
    <row r="13" spans="1:1" s="168" customFormat="1" ht="42" customHeight="1" x14ac:dyDescent="0.3">
      <c r="A13" s="171" t="s">
        <v>649</v>
      </c>
    </row>
    <row r="14" spans="1:1" s="168" customFormat="1" ht="42" customHeight="1" x14ac:dyDescent="0.3">
      <c r="A14" s="171" t="s">
        <v>650</v>
      </c>
    </row>
    <row r="15" spans="1:1" s="168" customFormat="1" ht="42" customHeight="1" x14ac:dyDescent="0.3">
      <c r="A15" s="171" t="s">
        <v>651</v>
      </c>
    </row>
    <row r="16" spans="1:1" s="168" customFormat="1" ht="25.35" customHeight="1" x14ac:dyDescent="0.3">
      <c r="A16" s="172" t="s">
        <v>652</v>
      </c>
    </row>
    <row r="17" spans="1:1" s="168" customFormat="1" ht="10.35" customHeight="1" x14ac:dyDescent="0.3">
      <c r="A17" s="172"/>
    </row>
    <row r="18" spans="1:1" s="168" customFormat="1" ht="15.6" x14ac:dyDescent="0.3">
      <c r="A18" s="169" t="s">
        <v>50</v>
      </c>
    </row>
    <row r="19" spans="1:1" s="168" customFormat="1" ht="25.35" customHeight="1" x14ac:dyDescent="0.3">
      <c r="A19" s="170" t="s">
        <v>327</v>
      </c>
    </row>
    <row r="20" spans="1:1" s="168" customFormat="1" ht="15.6" x14ac:dyDescent="0.3">
      <c r="A20" s="170"/>
    </row>
    <row r="21" spans="1:1" s="168" customFormat="1" ht="15.6" x14ac:dyDescent="0.3">
      <c r="A21" s="169" t="s">
        <v>51</v>
      </c>
    </row>
    <row r="22" spans="1:1" s="168" customFormat="1" ht="31.2" x14ac:dyDescent="0.3">
      <c r="A22" s="170" t="s">
        <v>328</v>
      </c>
    </row>
    <row r="23" spans="1:1" s="168" customFormat="1" ht="25.35" customHeight="1" x14ac:dyDescent="0.3">
      <c r="A23" s="170"/>
    </row>
    <row r="24" spans="1:1" s="168" customFormat="1" ht="15.6" x14ac:dyDescent="0.3">
      <c r="A24" s="169" t="s">
        <v>14</v>
      </c>
    </row>
    <row r="25" spans="1:1" s="168" customFormat="1" ht="42" customHeight="1" x14ac:dyDescent="0.3">
      <c r="A25" s="170" t="s">
        <v>329</v>
      </c>
    </row>
    <row r="26" spans="1:1" s="168" customFormat="1" ht="25.35" customHeight="1" x14ac:dyDescent="0.3">
      <c r="A26" s="173" t="s">
        <v>330</v>
      </c>
    </row>
    <row r="27" spans="1:1" s="168" customFormat="1" ht="15.6" x14ac:dyDescent="0.3">
      <c r="A27" s="173"/>
    </row>
    <row r="28" spans="1:1" s="168" customFormat="1" ht="15.6" x14ac:dyDescent="0.3">
      <c r="A28" s="169" t="s">
        <v>52</v>
      </c>
    </row>
    <row r="29" spans="1:1" s="168" customFormat="1" ht="42" customHeight="1" x14ac:dyDescent="0.3">
      <c r="A29" s="170" t="s">
        <v>331</v>
      </c>
    </row>
    <row r="31" spans="1:1" ht="25.2" x14ac:dyDescent="0.3">
      <c r="A31" s="184" t="s">
        <v>332</v>
      </c>
    </row>
    <row r="32" spans="1:1" s="168" customFormat="1" ht="42" customHeight="1" x14ac:dyDescent="0.3">
      <c r="A32" s="167" t="s">
        <v>333</v>
      </c>
    </row>
    <row r="33" spans="1:1" s="168" customFormat="1" ht="15.6" x14ac:dyDescent="0.3">
      <c r="A33" s="167"/>
    </row>
    <row r="34" spans="1:1" s="168" customFormat="1" ht="20.399999999999999" x14ac:dyDescent="0.3">
      <c r="A34" s="186" t="s">
        <v>334</v>
      </c>
    </row>
    <row r="35" spans="1:1" s="168" customFormat="1" ht="25.35" customHeight="1" x14ac:dyDescent="0.3">
      <c r="A35" s="167" t="s">
        <v>335</v>
      </c>
    </row>
    <row r="36" spans="1:1" s="177" customFormat="1" ht="10.35" customHeight="1" x14ac:dyDescent="0.3">
      <c r="A36" s="182"/>
    </row>
    <row r="37" spans="1:1" s="168" customFormat="1" ht="15.6" x14ac:dyDescent="0.3">
      <c r="A37" s="174" t="s">
        <v>60</v>
      </c>
    </row>
    <row r="38" spans="1:1" s="168" customFormat="1" ht="42" customHeight="1" x14ac:dyDescent="0.3">
      <c r="A38" s="167" t="s">
        <v>336</v>
      </c>
    </row>
    <row r="39" spans="1:1" s="168" customFormat="1" ht="25.35" customHeight="1" x14ac:dyDescent="0.3">
      <c r="A39" s="175" t="s">
        <v>337</v>
      </c>
    </row>
    <row r="40" spans="1:1" s="177" customFormat="1" ht="10.35" customHeight="1" x14ac:dyDescent="0.3">
      <c r="A40" s="182"/>
    </row>
    <row r="41" spans="1:1" s="168" customFormat="1" ht="15.6" x14ac:dyDescent="0.3">
      <c r="A41" s="174" t="s">
        <v>61</v>
      </c>
    </row>
    <row r="42" spans="1:1" s="168" customFormat="1" ht="31.2" x14ac:dyDescent="0.3">
      <c r="A42" s="167" t="s">
        <v>338</v>
      </c>
    </row>
    <row r="43" spans="1:1" s="168" customFormat="1" ht="25.35" customHeight="1" x14ac:dyDescent="0.3">
      <c r="A43" s="175" t="s">
        <v>339</v>
      </c>
    </row>
    <row r="44" spans="1:1" s="177" customFormat="1" ht="10.35" customHeight="1" x14ac:dyDescent="0.3">
      <c r="A44" s="182"/>
    </row>
    <row r="45" spans="1:1" s="168" customFormat="1" ht="15.6" x14ac:dyDescent="0.3">
      <c r="A45" s="174" t="s">
        <v>62</v>
      </c>
    </row>
    <row r="46" spans="1:1" s="168" customFormat="1" ht="25.35" customHeight="1" x14ac:dyDescent="0.3">
      <c r="A46" s="170" t="s">
        <v>340</v>
      </c>
    </row>
    <row r="47" spans="1:1" s="168" customFormat="1" ht="25.35" customHeight="1" x14ac:dyDescent="0.3">
      <c r="A47" s="171" t="s">
        <v>341</v>
      </c>
    </row>
    <row r="48" spans="1:1" s="168" customFormat="1" ht="15.6" x14ac:dyDescent="0.3">
      <c r="A48" s="167"/>
    </row>
    <row r="49" spans="1:1" s="168" customFormat="1" ht="20.399999999999999" x14ac:dyDescent="0.3">
      <c r="A49" s="187" t="s">
        <v>342</v>
      </c>
    </row>
    <row r="50" spans="1:1" s="168" customFormat="1" ht="30" customHeight="1" x14ac:dyDescent="0.3">
      <c r="A50" s="167" t="s">
        <v>343</v>
      </c>
    </row>
    <row r="51" spans="1:1" s="168" customFormat="1" ht="15.6" x14ac:dyDescent="0.3">
      <c r="A51" s="167"/>
    </row>
    <row r="52" spans="1:1" s="168" customFormat="1" ht="15.6" x14ac:dyDescent="0.3">
      <c r="A52" s="176" t="s">
        <v>63</v>
      </c>
    </row>
    <row r="53" spans="1:1" s="168" customFormat="1" ht="25.35" customHeight="1" x14ac:dyDescent="0.3">
      <c r="A53" s="167" t="s">
        <v>344</v>
      </c>
    </row>
    <row r="54" spans="1:1" s="168" customFormat="1" ht="25.35" customHeight="1" x14ac:dyDescent="0.3">
      <c r="A54" s="175" t="s">
        <v>345</v>
      </c>
    </row>
    <row r="55" spans="1:1" s="177" customFormat="1" ht="10.35" customHeight="1" x14ac:dyDescent="0.3">
      <c r="A55" s="182"/>
    </row>
    <row r="56" spans="1:1" s="168" customFormat="1" ht="15.6" x14ac:dyDescent="0.3">
      <c r="A56" s="176" t="s">
        <v>64</v>
      </c>
    </row>
    <row r="57" spans="1:1" s="168" customFormat="1" ht="25.35" customHeight="1" x14ac:dyDescent="0.3">
      <c r="A57" s="167" t="s">
        <v>346</v>
      </c>
    </row>
    <row r="58" spans="1:1" s="168" customFormat="1" ht="25.35" customHeight="1" x14ac:dyDescent="0.3">
      <c r="A58" s="175" t="s">
        <v>347</v>
      </c>
    </row>
    <row r="59" spans="1:1" s="168" customFormat="1" ht="25.35" customHeight="1" x14ac:dyDescent="0.3">
      <c r="A59" s="167" t="s">
        <v>653</v>
      </c>
    </row>
    <row r="60" spans="1:1" s="177" customFormat="1" ht="10.35" customHeight="1" x14ac:dyDescent="0.3">
      <c r="A60" s="182"/>
    </row>
    <row r="61" spans="1:1" s="168" customFormat="1" ht="15.6" x14ac:dyDescent="0.3">
      <c r="A61" s="176" t="s">
        <v>65</v>
      </c>
    </row>
    <row r="62" spans="1:1" s="168" customFormat="1" ht="42" customHeight="1" x14ac:dyDescent="0.3">
      <c r="A62" s="167" t="s">
        <v>348</v>
      </c>
    </row>
    <row r="63" spans="1:1" s="177" customFormat="1" ht="25.35" customHeight="1" x14ac:dyDescent="0.3">
      <c r="A63" s="175" t="s">
        <v>349</v>
      </c>
    </row>
    <row r="64" spans="1:1" s="177" customFormat="1" ht="10.35" customHeight="1" x14ac:dyDescent="0.3">
      <c r="A64" s="182"/>
    </row>
    <row r="65" spans="1:1" s="168" customFormat="1" ht="15.6" x14ac:dyDescent="0.3">
      <c r="A65" s="176" t="s">
        <v>66</v>
      </c>
    </row>
    <row r="66" spans="1:1" s="168" customFormat="1" ht="25.35" customHeight="1" x14ac:dyDescent="0.3">
      <c r="A66" s="167" t="s">
        <v>350</v>
      </c>
    </row>
    <row r="67" spans="1:1" s="177" customFormat="1" ht="25.35" customHeight="1" x14ac:dyDescent="0.3">
      <c r="A67" s="175" t="s">
        <v>351</v>
      </c>
    </row>
    <row r="68" spans="1:1" s="168" customFormat="1" ht="15.6" x14ac:dyDescent="0.3">
      <c r="A68" s="167"/>
    </row>
    <row r="69" spans="1:1" s="168" customFormat="1" ht="20.399999999999999" x14ac:dyDescent="0.3">
      <c r="A69" s="188" t="s">
        <v>352</v>
      </c>
    </row>
    <row r="70" spans="1:1" s="168" customFormat="1" ht="42" customHeight="1" x14ac:dyDescent="0.3">
      <c r="A70" s="167" t="s">
        <v>353</v>
      </c>
    </row>
    <row r="71" spans="1:1" s="177" customFormat="1" ht="10.35" customHeight="1" x14ac:dyDescent="0.3">
      <c r="A71" s="182"/>
    </row>
    <row r="72" spans="1:1" s="168" customFormat="1" ht="15.6" x14ac:dyDescent="0.3">
      <c r="A72" s="178" t="s">
        <v>68</v>
      </c>
    </row>
    <row r="73" spans="1:1" s="168" customFormat="1" ht="25.35" customHeight="1" x14ac:dyDescent="0.3">
      <c r="A73" s="167" t="s">
        <v>354</v>
      </c>
    </row>
    <row r="74" spans="1:1" s="177" customFormat="1" ht="25.35" customHeight="1" x14ac:dyDescent="0.3">
      <c r="A74" s="175" t="s">
        <v>355</v>
      </c>
    </row>
    <row r="75" spans="1:1" s="177" customFormat="1" ht="10.35" customHeight="1" x14ac:dyDescent="0.3">
      <c r="A75" s="182"/>
    </row>
    <row r="76" spans="1:1" s="168" customFormat="1" ht="15.6" x14ac:dyDescent="0.3">
      <c r="A76" s="179" t="s">
        <v>69</v>
      </c>
    </row>
    <row r="77" spans="1:1" s="168" customFormat="1" ht="46.8" x14ac:dyDescent="0.3">
      <c r="A77" s="167" t="s">
        <v>356</v>
      </c>
    </row>
    <row r="78" spans="1:1" s="177" customFormat="1" ht="42" customHeight="1" x14ac:dyDescent="0.3">
      <c r="A78" s="171" t="s">
        <v>357</v>
      </c>
    </row>
    <row r="79" spans="1:1" s="177" customFormat="1" ht="10.35" customHeight="1" x14ac:dyDescent="0.3">
      <c r="A79" s="182"/>
    </row>
    <row r="80" spans="1:1" s="168" customFormat="1" ht="15.6" x14ac:dyDescent="0.3">
      <c r="A80" s="179" t="s">
        <v>358</v>
      </c>
    </row>
    <row r="81" spans="1:4" s="168" customFormat="1" ht="42" customHeight="1" x14ac:dyDescent="0.3">
      <c r="A81" s="167" t="s">
        <v>359</v>
      </c>
    </row>
    <row r="82" spans="1:4" s="177" customFormat="1" ht="42" customHeight="1" x14ac:dyDescent="0.3">
      <c r="A82" s="171" t="s">
        <v>360</v>
      </c>
    </row>
    <row r="83" spans="1:4" s="177" customFormat="1" ht="10.35" customHeight="1" x14ac:dyDescent="0.3">
      <c r="A83" s="182"/>
    </row>
    <row r="84" spans="1:4" s="168" customFormat="1" ht="15.6" x14ac:dyDescent="0.3">
      <c r="A84" s="179" t="s">
        <v>361</v>
      </c>
    </row>
    <row r="85" spans="1:4" s="168" customFormat="1" ht="42" customHeight="1" x14ac:dyDescent="0.3">
      <c r="A85" s="180" t="s">
        <v>362</v>
      </c>
    </row>
    <row r="86" spans="1:4" s="177" customFormat="1" ht="25.35" customHeight="1" x14ac:dyDescent="0.3">
      <c r="A86" s="175" t="s">
        <v>363</v>
      </c>
    </row>
    <row r="87" spans="1:4" s="177" customFormat="1" ht="10.35" customHeight="1" x14ac:dyDescent="0.3">
      <c r="A87" s="182"/>
    </row>
    <row r="88" spans="1:4" s="168" customFormat="1" ht="15.6" x14ac:dyDescent="0.3">
      <c r="A88" s="179" t="s">
        <v>72</v>
      </c>
    </row>
    <row r="89" spans="1:4" s="168" customFormat="1" ht="25.35" customHeight="1" x14ac:dyDescent="0.3">
      <c r="A89" s="167" t="s">
        <v>364</v>
      </c>
    </row>
    <row r="90" spans="1:4" s="177" customFormat="1" ht="25.35" customHeight="1" x14ac:dyDescent="0.3">
      <c r="A90" s="175" t="s">
        <v>365</v>
      </c>
    </row>
    <row r="91" spans="1:4" s="168" customFormat="1" ht="15.6" x14ac:dyDescent="0.3">
      <c r="A91" s="167"/>
    </row>
    <row r="92" spans="1:4" s="168" customFormat="1" ht="20.399999999999999" x14ac:dyDescent="0.3">
      <c r="A92" s="189" t="s">
        <v>366</v>
      </c>
    </row>
    <row r="93" spans="1:4" s="168" customFormat="1" ht="15.6" x14ac:dyDescent="0.3">
      <c r="A93" s="167" t="s">
        <v>367</v>
      </c>
    </row>
    <row r="94" spans="1:4" s="168" customFormat="1" ht="15.6" x14ac:dyDescent="0.3">
      <c r="A94" s="167"/>
    </row>
    <row r="95" spans="1:4" s="168" customFormat="1" ht="15.6" x14ac:dyDescent="0.3">
      <c r="A95" s="174" t="s">
        <v>368</v>
      </c>
      <c r="B95" s="181"/>
      <c r="C95" s="181"/>
      <c r="D95" s="181"/>
    </row>
    <row r="96" spans="1:4" s="168" customFormat="1" ht="25.35" customHeight="1" x14ac:dyDescent="0.3">
      <c r="A96" s="180" t="s">
        <v>369</v>
      </c>
      <c r="B96" s="181"/>
      <c r="C96" s="181"/>
      <c r="D96" s="181"/>
    </row>
    <row r="97" spans="1:4" s="177" customFormat="1" ht="25.35" customHeight="1" x14ac:dyDescent="0.3">
      <c r="A97" s="182" t="s">
        <v>637</v>
      </c>
    </row>
    <row r="98" spans="1:4" s="177" customFormat="1" ht="10.35" customHeight="1" x14ac:dyDescent="0.3">
      <c r="A98" s="182"/>
    </row>
    <row r="99" spans="1:4" s="168" customFormat="1" ht="15.6" x14ac:dyDescent="0.3">
      <c r="A99" s="179" t="s">
        <v>67</v>
      </c>
    </row>
    <row r="100" spans="1:4" s="168" customFormat="1" ht="59.1" customHeight="1" x14ac:dyDescent="0.3">
      <c r="A100" s="180" t="s">
        <v>370</v>
      </c>
    </row>
    <row r="101" spans="1:4" s="177" customFormat="1" ht="10.35" customHeight="1" x14ac:dyDescent="0.3">
      <c r="A101" s="182"/>
    </row>
    <row r="102" spans="1:4" s="168" customFormat="1" ht="15.6" x14ac:dyDescent="0.3">
      <c r="A102" s="174" t="s">
        <v>53</v>
      </c>
      <c r="B102" s="181"/>
      <c r="C102" s="181"/>
      <c r="D102" s="181"/>
    </row>
    <row r="103" spans="1:4" s="168" customFormat="1" ht="25.35" customHeight="1" x14ac:dyDescent="0.3">
      <c r="A103" s="180" t="s">
        <v>371</v>
      </c>
    </row>
    <row r="104" spans="1:4" s="177" customFormat="1" ht="10.35" customHeight="1" x14ac:dyDescent="0.3">
      <c r="A104" s="182"/>
    </row>
    <row r="105" spans="1:4" s="168" customFormat="1" ht="15.6" x14ac:dyDescent="0.3">
      <c r="A105" s="174" t="s">
        <v>54</v>
      </c>
      <c r="B105" s="181"/>
      <c r="C105" s="181"/>
      <c r="D105" s="181"/>
    </row>
    <row r="106" spans="1:4" s="168" customFormat="1" ht="25.35" customHeight="1" x14ac:dyDescent="0.3">
      <c r="A106" s="180" t="s">
        <v>372</v>
      </c>
    </row>
    <row r="107" spans="1:4" s="177" customFormat="1" ht="10.35" customHeight="1" x14ac:dyDescent="0.3">
      <c r="A107" s="182"/>
    </row>
    <row r="108" spans="1:4" s="168" customFormat="1" ht="15.6" x14ac:dyDescent="0.3">
      <c r="A108" s="174" t="s">
        <v>57</v>
      </c>
      <c r="B108" s="181"/>
      <c r="C108" s="181"/>
      <c r="D108" s="181"/>
    </row>
    <row r="109" spans="1:4" s="168" customFormat="1" ht="25.35" customHeight="1" x14ac:dyDescent="0.3">
      <c r="A109" s="180" t="s">
        <v>373</v>
      </c>
    </row>
    <row r="110" spans="1:4" s="177" customFormat="1" ht="10.35" customHeight="1" x14ac:dyDescent="0.3">
      <c r="A110" s="182"/>
    </row>
    <row r="111" spans="1:4" s="168" customFormat="1" ht="15.6" x14ac:dyDescent="0.3">
      <c r="A111" s="174" t="s">
        <v>56</v>
      </c>
      <c r="B111" s="181"/>
      <c r="C111" s="181"/>
      <c r="D111" s="181"/>
    </row>
    <row r="112" spans="1:4" s="168" customFormat="1" ht="25.35" customHeight="1" x14ac:dyDescent="0.3">
      <c r="A112" s="180" t="s">
        <v>374</v>
      </c>
    </row>
    <row r="113" spans="1:4" s="177" customFormat="1" ht="10.35" customHeight="1" x14ac:dyDescent="0.3">
      <c r="A113" s="182"/>
    </row>
    <row r="114" spans="1:4" s="168" customFormat="1" ht="15.6" x14ac:dyDescent="0.3">
      <c r="A114" s="174" t="s">
        <v>55</v>
      </c>
      <c r="B114" s="181"/>
      <c r="C114" s="181"/>
      <c r="D114" s="181"/>
    </row>
    <row r="115" spans="1:4" s="168" customFormat="1" ht="25.35" customHeight="1" x14ac:dyDescent="0.3">
      <c r="A115" s="180" t="s">
        <v>375</v>
      </c>
    </row>
    <row r="116" spans="1:4" s="177" customFormat="1" ht="25.35" customHeight="1" x14ac:dyDescent="0.3">
      <c r="A116" s="182" t="s">
        <v>376</v>
      </c>
    </row>
    <row r="117" spans="1:4" s="177" customFormat="1" ht="10.35" customHeight="1" x14ac:dyDescent="0.3">
      <c r="A117" s="182"/>
    </row>
    <row r="118" spans="1:4" s="168" customFormat="1" ht="15.6" x14ac:dyDescent="0.3">
      <c r="A118" s="174" t="s">
        <v>59</v>
      </c>
    </row>
    <row r="119" spans="1:4" s="168" customFormat="1" ht="25.35" customHeight="1" x14ac:dyDescent="0.3">
      <c r="A119" s="180" t="s">
        <v>377</v>
      </c>
    </row>
    <row r="120" spans="1:4" s="177" customFormat="1" ht="25.35" customHeight="1" x14ac:dyDescent="0.3">
      <c r="A120" s="182" t="s">
        <v>378</v>
      </c>
    </row>
  </sheetData>
  <sheetProtection algorithmName="SHA-512" hashValue="3KV8O9zsUe3bxHoVGBFX76SAejwFtZRO4GuxeyEZz8ex5JqY51btRBqS6yDSUfmU/8PcnQN6Mj1sbmoKiLLHwA==" saltValue="2YUu8MbKSj2SS6E3wtwmHg==" spinCount="100000" sheet="1" objects="1" scenarios="1"/>
  <hyperlinks>
    <hyperlink ref="A9" location="'Current YTD Data Table'!F1" tooltip="Click here to find this designated column in the Data Table" display="Cohort Designations" xr:uid="{56AD982A-6E6D-487B-9CF9-900E6562B5A9}"/>
    <hyperlink ref="A24" location="'Current YTD Data Table'!I1" tooltip="Click here for this designated column in the Data Table" display="Region" xr:uid="{33E868F7-BCE7-4060-8B14-CF4299F237CB}"/>
    <hyperlink ref="A18" location="'Current YTD Data Table'!G1" tooltip="Click here to find this designated column in the Data Table" display="High Public Payer Status" xr:uid="{804391E0-136B-4CEF-A486-D03E0287230E}"/>
    <hyperlink ref="A21" location="'Current YTD Data Table'!H1" tooltip="Click here for this designated column in the Data Table" display="Teaching Hospital Status" xr:uid="{87E87AF5-D83A-45AD-ABEF-31449870F509}"/>
    <hyperlink ref="A28" location="'Current YTD Data Table'!J1" tooltip="Click here for this designated column in the Data Table" display="Reporting Period" xr:uid="{B98A3F77-A50C-4171-A6DD-0E9055490006}"/>
    <hyperlink ref="A31" r:id="rId1" xr:uid="{54D5227A-89C0-4904-AFFD-769F4786DE3C}"/>
    <hyperlink ref="A61" location="'Current YTD Data Table'!W1" tooltip="Click here for this designated column in the Data Table" display="Current Ratio" xr:uid="{B835DC25-7DD4-4B69-8543-87EA854B1190}"/>
    <hyperlink ref="A56" location="'Current YTD Data Table'!V1" tooltip="Click here for this designated column in the Data Table" display="Average Payment Period" xr:uid="{EF7DFCEF-DD06-4945-BF8D-AA6C341C68A3}"/>
    <hyperlink ref="A52" location="'Current YTD Data Table'!U1" tooltip="Click here for this designated column in the Data Table" display="Average Days in Accounts Receivable" xr:uid="{6F09F958-B65D-4586-8BF5-F44FD70FD768}"/>
    <hyperlink ref="A65" location="'Current YTD Data Table'!X1" tooltip="Click here for this designated column in the Data Table" display="Current Days Cash on Hand" xr:uid="{BC040811-F3EF-4B54-AE4A-0D7459103EBA}"/>
    <hyperlink ref="A80" location="'Current YTD Data Table'!AA1" tooltip="Click here for this designated column in the Data Table" display="Debt Service Coverage" xr:uid="{8ACDAA02-DE5C-4317-ABE4-CB6CAE544111}"/>
    <hyperlink ref="A76" location="'Current YTD Data Table'!Z1" tooltip="Click here for this designated column in the Data Table" display="Cash Flow to Total Debt" xr:uid="{C84EA8B2-96A3-48C5-800A-1DD9BD2F27B7}"/>
    <hyperlink ref="A84" location="'Current YTD Data Table'!AB1" tooltip="Click here for this designated column in the Data Table" display="Equity Financing" xr:uid="{294B69B5-F638-4480-A2E8-B081500A7679}"/>
    <hyperlink ref="A88" location="'Current YTD Data Table'!AC1" tooltip="Click here for this designated column in the Data Table" display="Long Term Debt to Total Capitalization" xr:uid="{645F322A-19D9-4CCA-BD31-9DF41E5D53B2}"/>
    <hyperlink ref="A95" location="'Current YTD Data Table'!P1" tooltip="Click here for this designated column in the Data Table" display="Total Surplus (Loss) OR Total Profit (Loss) OR Total Excess of Revenue Over Expenses" xr:uid="{2EC66DA5-DAE6-47E2-9E23-6429912167CD}"/>
    <hyperlink ref="A99" location="'Current YTD Data Table'!Y1" tooltip="Click here for this designated column in the Data Table" display="Total Net Assets or Equity" xr:uid="{E4D4C5C7-7F99-4C02-9121-F5FE11101492}"/>
    <hyperlink ref="A102" location="'Current YTD Data Table'!K1" tooltip="Click here for this designated column in the Data Table" display="Total Operating Revenue" xr:uid="{5E3B33D5-600C-4120-8454-E4D2AFE9E8B0}"/>
    <hyperlink ref="A105" location="'Current YTD Data Table'!L1" tooltip="Click here for this designated column in the Data Table" display="Total Revenue" xr:uid="{3D571A3C-95FF-428E-AF7D-59916070C7D2}"/>
    <hyperlink ref="A108" location="'Current YTD Data Table'!O1" tooltip="Click here for this designated column in the Data Table" display="Total Expenses" xr:uid="{C51864E3-2767-4EE0-B78F-1FDD3DC5A985}"/>
    <hyperlink ref="A26" r:id="rId2" xr:uid="{2C59B078-6DE2-4A6C-9C5A-E2751D9C0F33}"/>
    <hyperlink ref="A111" location="'Current YTD Data Table'!N1" tooltip="Click here for this designated column in the Data Table" display="Temporary Staffing Expenses" xr:uid="{557677C8-C501-46D2-835F-37011D4E3C52}"/>
    <hyperlink ref="A114" location="'Current YTD Data Table'!M1" tooltip="Click here for this designated column in the Data Table" display="Workforce Expenses" xr:uid="{6A17058C-C315-4837-AA07-CBEABD54158A}"/>
    <hyperlink ref="A45" location="'Current YTD Data Table'!T1" tooltip="Click here for this designated column in the Data Table" display="Total Margin" xr:uid="{F5DC4C79-0157-4184-859D-C7E5B52559FC}"/>
    <hyperlink ref="A41" location="'Current YTD Data Table'!S1" tooltip="Click here for this designated column in the Data Table" display="Non-Operating Margin" xr:uid="{A9626449-99D9-4428-B848-7AD794291DC4}"/>
    <hyperlink ref="A37" location="'Current YTD Data Table'!R1" tooltip="Click here for this designated column in the Data Table" display="Operating Margin" xr:uid="{B04F3D69-C01F-40BC-913C-B4944216AA21}"/>
    <hyperlink ref="A95:D95" location="'Current YTD Data Table'!P1" display="Total Surplus (Loss) OR Total Profit (Loss) OR Total Excess of Revenue Over Expenses" xr:uid="{8C999EF8-62A3-4C67-9D4C-D865FB06C6D8}"/>
    <hyperlink ref="A118" location="'Current YTD Data Table'!Q1" tooltip="Click here for this designated column in the Data Table" display="Operating Profit (Loss)" xr:uid="{57FC011F-6383-4A5B-B9F1-7B0270D7717F}"/>
  </hyperlinks>
  <pageMargins left="0.7" right="0.7" top="0.75" bottom="0.75" header="0.3" footer="0.3"/>
  <pageSetup scale="59" fitToHeight="0" orientation="portrait" r:id="rId3"/>
  <headerFooter>
    <oddHeader xml:space="preserve">&amp;C   </oddHeader>
    <oddFooter xml:space="preserve">&amp;C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6D3D4A-15A2-46F1-9F4D-19E644FCEA1F}">
  <sheetPr codeName="Sheet14"/>
  <dimension ref="A1:D36"/>
  <sheetViews>
    <sheetView topLeftCell="A18" zoomScale="86" workbookViewId="0">
      <selection activeCell="D30" sqref="D30"/>
    </sheetView>
  </sheetViews>
  <sheetFormatPr defaultColWidth="8.5546875" defaultRowHeight="14.4" x14ac:dyDescent="0.3"/>
  <cols>
    <col min="1" max="1" width="32.44140625" bestFit="1" customWidth="1"/>
    <col min="2" max="2" width="20.5546875" style="44" bestFit="1" customWidth="1"/>
    <col min="3" max="3" width="20.5546875" style="44" customWidth="1"/>
    <col min="4" max="4" width="20.44140625" customWidth="1"/>
  </cols>
  <sheetData>
    <row r="1" spans="1:4" x14ac:dyDescent="0.3">
      <c r="A1" s="231" t="s">
        <v>586</v>
      </c>
      <c r="B1" s="232" t="s">
        <v>587</v>
      </c>
      <c r="C1" s="232" t="s">
        <v>588</v>
      </c>
      <c r="D1" s="231" t="s">
        <v>589</v>
      </c>
    </row>
    <row r="2" spans="1:4" ht="28.8" x14ac:dyDescent="0.3">
      <c r="A2" s="231" t="s">
        <v>590</v>
      </c>
      <c r="B2" s="232" t="s">
        <v>591</v>
      </c>
      <c r="C2" s="232">
        <v>2024</v>
      </c>
      <c r="D2" s="231">
        <v>2023</v>
      </c>
    </row>
    <row r="3" spans="1:4" x14ac:dyDescent="0.3">
      <c r="A3" s="231" t="s">
        <v>592</v>
      </c>
      <c r="B3" s="232" cm="1">
        <f t="array" ref="B3">SUM(COUNTIFS('Current YTD Data Table'!$E$2:$E$486,{"AcuteHospital","Acute Hospital"}))</f>
        <v>58</v>
      </c>
      <c r="C3" s="232">
        <f>COUNTIF('Prior Year Data Table'!$E$2:$E$483,"AcuteHospital")</f>
        <v>55</v>
      </c>
      <c r="D3" s="231">
        <f>COUNTIF('Prior YTD Data Table'!$E$2:$E$497,"AcuteHospital")</f>
        <v>58</v>
      </c>
    </row>
    <row r="4" spans="1:4" x14ac:dyDescent="0.3">
      <c r="A4" s="231" t="s">
        <v>593</v>
      </c>
      <c r="B4" s="232">
        <v>60</v>
      </c>
      <c r="C4" s="232">
        <v>58</v>
      </c>
      <c r="D4" s="231">
        <v>60</v>
      </c>
    </row>
    <row r="5" spans="1:4" ht="86.4" x14ac:dyDescent="0.3">
      <c r="A5" s="231" t="s">
        <v>594</v>
      </c>
      <c r="B5" s="232" t="s">
        <v>595</v>
      </c>
      <c r="C5" s="232" t="s">
        <v>596</v>
      </c>
      <c r="D5" s="231" t="s">
        <v>597</v>
      </c>
    </row>
    <row r="6" spans="1:4" ht="57.6" x14ac:dyDescent="0.3">
      <c r="A6" s="231" t="s">
        <v>689</v>
      </c>
      <c r="B6" s="232" t="s">
        <v>598</v>
      </c>
      <c r="C6" s="232" t="s">
        <v>599</v>
      </c>
      <c r="D6" s="231"/>
    </row>
    <row r="15" spans="1:4" x14ac:dyDescent="0.3">
      <c r="B15" s="44" t="s">
        <v>717</v>
      </c>
      <c r="C15" s="44" t="s">
        <v>718</v>
      </c>
    </row>
    <row r="16" spans="1:4" x14ac:dyDescent="0.3">
      <c r="B16" s="250">
        <v>3106</v>
      </c>
      <c r="C16" s="238">
        <v>3106</v>
      </c>
    </row>
    <row r="17" spans="2:4" x14ac:dyDescent="0.3">
      <c r="B17" s="250">
        <v>3109</v>
      </c>
      <c r="C17" s="233">
        <v>3109</v>
      </c>
    </row>
    <row r="18" spans="2:4" x14ac:dyDescent="0.3">
      <c r="B18" s="250">
        <v>3791</v>
      </c>
      <c r="C18" s="238">
        <v>3791</v>
      </c>
    </row>
    <row r="19" spans="2:4" x14ac:dyDescent="0.3">
      <c r="B19" s="251">
        <v>4027</v>
      </c>
      <c r="C19" s="233">
        <v>4027</v>
      </c>
    </row>
    <row r="20" spans="2:4" x14ac:dyDescent="0.3">
      <c r="B20" s="250">
        <v>4066</v>
      </c>
      <c r="C20" s="233">
        <v>4066</v>
      </c>
    </row>
    <row r="21" spans="2:4" x14ac:dyDescent="0.3">
      <c r="B21" s="250">
        <v>6755</v>
      </c>
      <c r="C21" s="233">
        <v>6755</v>
      </c>
    </row>
    <row r="22" spans="2:4" x14ac:dyDescent="0.3">
      <c r="B22" s="251">
        <v>9991</v>
      </c>
      <c r="C22" s="233">
        <v>9991</v>
      </c>
    </row>
    <row r="23" spans="2:4" x14ac:dyDescent="0.3">
      <c r="B23" s="251">
        <v>12759</v>
      </c>
      <c r="C23" s="238">
        <v>12759</v>
      </c>
    </row>
    <row r="24" spans="2:4" x14ac:dyDescent="0.3">
      <c r="B24" s="250">
        <v>12767</v>
      </c>
      <c r="C24" s="238">
        <v>12767</v>
      </c>
    </row>
    <row r="25" spans="2:4" x14ac:dyDescent="0.3">
      <c r="B25" s="251">
        <v>12773</v>
      </c>
      <c r="C25" s="233">
        <v>12773</v>
      </c>
    </row>
    <row r="26" spans="2:4" x14ac:dyDescent="0.3">
      <c r="B26" s="251">
        <v>12775</v>
      </c>
      <c r="C26" s="238">
        <v>12775</v>
      </c>
    </row>
    <row r="27" spans="2:4" x14ac:dyDescent="0.3">
      <c r="B27" s="250">
        <v>12776</v>
      </c>
      <c r="C27" s="233">
        <v>12776</v>
      </c>
    </row>
    <row r="28" spans="2:4" x14ac:dyDescent="0.3">
      <c r="B28" s="251">
        <v>12807</v>
      </c>
      <c r="C28" s="238">
        <v>12807</v>
      </c>
    </row>
    <row r="29" spans="2:4" x14ac:dyDescent="0.3">
      <c r="B29" s="251">
        <v>13155</v>
      </c>
      <c r="C29" s="252"/>
      <c r="D29" t="s">
        <v>719</v>
      </c>
    </row>
    <row r="30" spans="2:4" x14ac:dyDescent="0.3">
      <c r="B30" s="250">
        <v>13156</v>
      </c>
      <c r="C30" s="238">
        <v>13156</v>
      </c>
    </row>
    <row r="31" spans="2:4" x14ac:dyDescent="0.3">
      <c r="B31" s="251">
        <v>13159</v>
      </c>
      <c r="C31" s="238">
        <v>13159</v>
      </c>
    </row>
    <row r="32" spans="2:4" x14ac:dyDescent="0.3">
      <c r="B32" s="250">
        <v>14286</v>
      </c>
      <c r="C32" s="233">
        <v>14286</v>
      </c>
    </row>
    <row r="33" spans="2:3" x14ac:dyDescent="0.3">
      <c r="B33" s="250">
        <v>14287</v>
      </c>
      <c r="C33" s="238">
        <v>14287</v>
      </c>
    </row>
    <row r="34" spans="2:3" x14ac:dyDescent="0.3">
      <c r="B34" s="251">
        <v>14288</v>
      </c>
      <c r="C34" s="238">
        <v>14288</v>
      </c>
    </row>
    <row r="35" spans="2:3" x14ac:dyDescent="0.3">
      <c r="B35" s="251">
        <v>16665</v>
      </c>
      <c r="C35" s="238">
        <v>16665</v>
      </c>
    </row>
    <row r="36" spans="2:3" x14ac:dyDescent="0.3">
      <c r="B36" s="250">
        <v>22350</v>
      </c>
      <c r="C36" s="238">
        <v>22350</v>
      </c>
    </row>
  </sheetData>
  <protectedRanges>
    <protectedRange sqref="B16" name="Range1_1"/>
    <protectedRange sqref="B17" name="Range1_1_1"/>
    <protectedRange sqref="B18:B20" name="Range1_1_2"/>
    <protectedRange sqref="B21" name="Range1_1_3"/>
    <protectedRange sqref="B22" name="Range1_1_4"/>
    <protectedRange sqref="B23:B28" name="Range1_1_5"/>
    <protectedRange sqref="B29:B31" name="Range1_1_6"/>
    <protectedRange sqref="B32" name="Range1_1_7"/>
  </protectedRange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7EBF0D-CEC7-49BC-A9EF-1082BE53EB22}">
  <sheetPr codeName="Sheet15"/>
  <dimension ref="A1:CE725"/>
  <sheetViews>
    <sheetView zoomScaleNormal="100" workbookViewId="0">
      <pane xSplit="6" ySplit="1" topLeftCell="G2" activePane="bottomRight" state="frozen"/>
      <selection pane="topRight" activeCell="G1" sqref="G1"/>
      <selection pane="bottomLeft" activeCell="A2" sqref="A2"/>
      <selection pane="bottomRight" activeCell="E3" sqref="E3"/>
    </sheetView>
  </sheetViews>
  <sheetFormatPr defaultColWidth="8.5546875" defaultRowHeight="14.4" x14ac:dyDescent="0.3"/>
  <cols>
    <col min="1" max="1" width="15.44140625" style="44" customWidth="1"/>
    <col min="2" max="2" width="17.5546875" customWidth="1"/>
    <col min="3" max="3" width="10.44140625" customWidth="1"/>
    <col min="4" max="4" width="9.5546875" bestFit="1" customWidth="1"/>
    <col min="5" max="5" width="16.44140625" bestFit="1" customWidth="1"/>
    <col min="6" max="6" width="19.44140625" bestFit="1" customWidth="1"/>
    <col min="7" max="7" width="11.5546875" customWidth="1"/>
    <col min="8" max="8" width="21.44140625" bestFit="1" customWidth="1"/>
    <col min="9" max="9" width="21.44140625" customWidth="1"/>
    <col min="10" max="10" width="15" bestFit="1" customWidth="1"/>
    <col min="11" max="11" width="15.44140625" customWidth="1"/>
    <col min="12" max="12" width="21" customWidth="1"/>
    <col min="13" max="13" width="12" customWidth="1"/>
    <col min="14" max="14" width="19.44140625" customWidth="1"/>
    <col min="15" max="15" width="12.44140625" customWidth="1"/>
    <col min="16" max="16" width="14.44140625" bestFit="1" customWidth="1"/>
    <col min="17" max="17" width="15.5546875" customWidth="1"/>
    <col min="18" max="18" width="14.44140625" bestFit="1" customWidth="1"/>
    <col min="19" max="19" width="20.5546875" bestFit="1" customWidth="1"/>
    <col min="20" max="20" width="14.44140625" customWidth="1"/>
    <col min="21" max="21" width="13.44140625" customWidth="1"/>
    <col min="22" max="22" width="10.5546875" customWidth="1"/>
    <col min="23" max="23" width="14.44140625" customWidth="1"/>
    <col min="24" max="24" width="13" customWidth="1"/>
    <col min="25" max="26" width="12.44140625" customWidth="1"/>
    <col min="27" max="27" width="12.5546875" customWidth="1"/>
    <col min="28" max="28" width="10.44140625" customWidth="1"/>
    <col min="29" max="29" width="13.5546875" customWidth="1"/>
    <col min="30" max="30" width="13.44140625" customWidth="1"/>
    <col min="31" max="31" width="12" customWidth="1"/>
    <col min="32" max="33" width="12.44140625" customWidth="1"/>
    <col min="34" max="34" width="13.44140625" customWidth="1"/>
    <col min="35" max="35" width="17.44140625" customWidth="1"/>
    <col min="36" max="36" width="13.5546875" customWidth="1"/>
    <col min="37" max="38" width="11.5546875" customWidth="1"/>
    <col min="39" max="39" width="11" customWidth="1"/>
    <col min="40" max="40" width="11.44140625" customWidth="1"/>
    <col min="41" max="41" width="13" customWidth="1"/>
    <col min="42" max="42" width="11.5546875" customWidth="1"/>
    <col min="43" max="43" width="13.5546875" customWidth="1"/>
    <col min="44" max="44" width="11.5546875" customWidth="1"/>
    <col min="45" max="45" width="12.44140625" customWidth="1"/>
    <col min="46" max="46" width="12.44140625" bestFit="1" customWidth="1"/>
    <col min="47" max="47" width="10.5546875" customWidth="1"/>
    <col min="48" max="48" width="12.44140625" style="44" bestFit="1" customWidth="1"/>
  </cols>
  <sheetData>
    <row r="1" spans="1:83" s="13" customFormat="1" ht="34.200000000000003" x14ac:dyDescent="0.3">
      <c r="A1" s="11" t="s">
        <v>600</v>
      </c>
      <c r="B1" s="11" t="s">
        <v>44</v>
      </c>
      <c r="C1" s="11" t="s">
        <v>46</v>
      </c>
      <c r="D1" s="11" t="s">
        <v>47</v>
      </c>
      <c r="E1" s="11" t="s">
        <v>48</v>
      </c>
      <c r="F1" s="11" t="s">
        <v>49</v>
      </c>
      <c r="G1" s="11" t="s">
        <v>14</v>
      </c>
      <c r="H1" s="11" t="s">
        <v>50</v>
      </c>
      <c r="I1" s="11" t="s">
        <v>51</v>
      </c>
      <c r="J1" s="11" t="s">
        <v>52</v>
      </c>
      <c r="K1" s="264" t="s">
        <v>60</v>
      </c>
      <c r="L1" s="264" t="s">
        <v>61</v>
      </c>
      <c r="M1" s="264" t="s">
        <v>62</v>
      </c>
      <c r="N1" s="11" t="s">
        <v>58</v>
      </c>
      <c r="O1" s="11" t="s">
        <v>65</v>
      </c>
      <c r="P1" s="11" t="s">
        <v>67</v>
      </c>
      <c r="Q1" s="11" t="s">
        <v>53</v>
      </c>
      <c r="R1" s="11" t="s">
        <v>54</v>
      </c>
      <c r="S1" s="11" t="s">
        <v>601</v>
      </c>
      <c r="T1" s="11" t="s">
        <v>602</v>
      </c>
      <c r="U1" s="11" t="s">
        <v>57</v>
      </c>
      <c r="V1" s="11" t="s">
        <v>68</v>
      </c>
      <c r="W1" s="11" t="s">
        <v>63</v>
      </c>
      <c r="X1" s="11" t="s">
        <v>64</v>
      </c>
      <c r="Y1" s="11" t="s">
        <v>69</v>
      </c>
      <c r="Z1" s="11" t="s">
        <v>603</v>
      </c>
      <c r="AA1" s="11" t="s">
        <v>70</v>
      </c>
      <c r="AB1" s="11" t="s">
        <v>71</v>
      </c>
      <c r="AC1" s="11" t="s">
        <v>72</v>
      </c>
      <c r="AD1" s="11" t="s">
        <v>247</v>
      </c>
      <c r="AE1" s="11" t="s">
        <v>222</v>
      </c>
      <c r="AF1" s="11" t="s">
        <v>237</v>
      </c>
      <c r="AG1" s="11" t="s">
        <v>604</v>
      </c>
      <c r="AH1" s="11" t="s">
        <v>228</v>
      </c>
      <c r="AI1" s="11" t="s">
        <v>262</v>
      </c>
      <c r="AJ1" s="11" t="s">
        <v>218</v>
      </c>
      <c r="AK1" s="11" t="s">
        <v>605</v>
      </c>
      <c r="AL1" s="11" t="s">
        <v>234</v>
      </c>
      <c r="AM1" s="11" t="s">
        <v>606</v>
      </c>
      <c r="AN1" s="11" t="s">
        <v>216</v>
      </c>
      <c r="AO1" s="11" t="s">
        <v>215</v>
      </c>
      <c r="AP1" s="11" t="s">
        <v>263</v>
      </c>
      <c r="AQ1" s="11" t="s">
        <v>607</v>
      </c>
      <c r="AR1" s="11" t="s">
        <v>232</v>
      </c>
      <c r="AS1" s="11" t="s">
        <v>608</v>
      </c>
      <c r="AT1" s="11" t="s">
        <v>609</v>
      </c>
      <c r="AU1" s="11" t="s">
        <v>610</v>
      </c>
      <c r="AV1" s="11" t="s">
        <v>260</v>
      </c>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c r="CA1" s="11"/>
      <c r="CB1" s="11"/>
      <c r="CC1" s="11"/>
      <c r="CD1" s="11"/>
      <c r="CE1" s="11"/>
    </row>
    <row r="2" spans="1:83" ht="34.200000000000003" x14ac:dyDescent="0.3">
      <c r="A2" s="14" t="str">
        <f>IFERROR(INDEX('Static Data Tab'!$N$2:$N$610,MATCH($D$2,'Static Data Tab'!$D$2:$D$610,0)), "")</f>
        <v>Beth Israel Lahey Health</v>
      </c>
      <c r="B2" s="14" t="s">
        <v>91</v>
      </c>
      <c r="C2" s="14">
        <v>1</v>
      </c>
      <c r="D2" s="14">
        <v>16665</v>
      </c>
      <c r="E2" s="14" t="str">
        <f>IFERROR(INDEX('Prior Year Data Pull'!$A$1:$CB$593,MATCH($C$2,'Prior Year Data Pull'!$A$1:$A$593,0),MATCH("Organization Type",'Prior Year Data Pull'!$A$1:$CB$1,0)),"")</f>
        <v>AcuteHospital</v>
      </c>
      <c r="F2" s="14" t="str">
        <f>IFERROR(INDEX('Static Data Tab'!$E$2:$E$610,MATCH($C$2,'Static Data Tab'!$B$2:$B$610,0)), "-")</f>
        <v>Community-High Public Payer Hospital</v>
      </c>
      <c r="G2" s="14" t="str">
        <f>IFERROR(INDEX('Static Data Tab'!$J$2:$J$610,MATCH($C$2,'Static Data Tab'!$B$2:$B$610,0)), "")</f>
        <v>Northeastern Massachusetts</v>
      </c>
      <c r="H2" s="14" t="str">
        <f>IFERROR(INDEX('Static Data Tab'!$F$2:$F$610,MATCH($C$2,'Static Data Tab'!$B$2:$B$610,0)), "")</f>
        <v>x</v>
      </c>
      <c r="I2" s="14">
        <f>IFERROR(INDEX('Static Data Tab'!$G$2:$G$610,MATCH($C$2,'Static Data Tab'!$B$2:$B$610,0)), "")</f>
        <v>0</v>
      </c>
      <c r="J2" s="14" t="str">
        <f>IFERROR(INDEX('Prior Year Data Pull'!$A$2:$CB$593,MATCH($C$2,'Prior Year Data Pull'!$A$2:$A$593,0),MATCH("Quarter Range",'Prior Year Data Pull'!$A$1:$CB$1,0)),"")</f>
        <v xml:space="preserve">10/01/2024-09/30/2025
</v>
      </c>
      <c r="K2" s="37">
        <f t="shared" ref="K2:K65" si="0">IFERROR(($Q2-$U2)/$R2, "")</f>
        <v>-0.11922784167794316</v>
      </c>
      <c r="L2" s="37">
        <f t="shared" ref="L2:L65" si="1">IFERROR($AG2/$R2, "")</f>
        <v>6.603800180423996E-3</v>
      </c>
      <c r="M2" s="37">
        <f t="shared" ref="M2:M65" si="2">IFERROR(($R2-$U2)/$R2, "")</f>
        <v>-0.11262404149751917</v>
      </c>
      <c r="N2" s="38">
        <f t="shared" ref="N2:N65" si="3">IFERROR($R2-$U2, "")</f>
        <v>-15980000</v>
      </c>
      <c r="O2" s="39">
        <f t="shared" ref="O2:O65" si="4">IFERROR($AE2/$AF2, "")</f>
        <v>0.44751120547298889</v>
      </c>
      <c r="P2" s="38">
        <f>IFERROR(INDEX('Prior Year Data Pull'!$A$2:$CB$593,MATCH('Prior Year Data Table'!$C$2,'Prior Year Data Pull'!$A$2:$A$593,0),MATCH("Total Net Assets or Equity",'Prior Year Data Pull'!$A$1:$CB$1,0)),"")</f>
        <v>-5800000</v>
      </c>
      <c r="Q2" s="38">
        <f>IFERROR(INDEX('Prior Year Data Pull'!$A$2:$CB$593,MATCH('Prior Year Data Table'!$C$2,'Prior Year Data Pull'!$A$2:$A$593,0),MATCH("Total Operating Revenue",'Prior Year Data Pull'!$A$1:$CB$1,0)),"")</f>
        <v>140951000</v>
      </c>
      <c r="R2" s="38">
        <f>IFERROR(INDEX('Prior Year Data Pull'!$A$2:$CB$593,MATCH('Prior Year Data Table'!$C$2,'Prior Year Data Pull'!$A$2:$A$593,0),MATCH("Total Unrestricted Revenue Gains and Other Support",'Prior Year Data Pull'!$A$1:$CB$1,0)),"")</f>
        <v>141888000</v>
      </c>
      <c r="S2" s="38">
        <f>IFERROR(INDEX('Prior Year TS Data Pull'!$K$2:$K$607,MATCH(C2,'Prior Year TS Data Pull'!$A$2:$A$607,0))+INDEX('Prior Year TS Data Pull'!$O$2:$O$119,MATCH(C2,'Prior Year TS Data Pull'!$A$2:$A$607,0))+INDEX('Prior Year TS Data Pull'!$S$2:$S$119,MATCH(C2,'Prior Year TS Data Pull'!$A$2:$A$607,0)),"")</f>
        <v>439291.87</v>
      </c>
      <c r="T2" s="38">
        <f>IF(INDEX('Prior Year TS Data Pull'!$A$1:$O$607,MATCH(C2,'Prior Year TS Data Pull'!$A$1:$A$607,0),MATCH("Temporary RN Staffing:
Line Reported on in Standardized Financials",'Prior Year TS Data Pull'!$A$1:$O$1,0))="66.1: Salary and Benefit Expense",'Prior Year Data Table'!$AV2-'Prior Year Data Table'!$S2,0)</f>
        <v>76491708.129999995</v>
      </c>
      <c r="U2" s="38">
        <f>IFERROR(INDEX('Prior Year Data Pull'!$A$2:$CB$593,MATCH(C2,'Prior Year Data Pull'!$A$2:$A$593,0),MATCH("Total Expenses Including Nonrecurring Gains Losses",'Prior Year Data Pull'!$A$1:$CB$1,0)),"")</f>
        <v>157868000</v>
      </c>
      <c r="V2" s="41">
        <f t="shared" ref="V2:V65" si="5">IFERROR($AH2/$AI2, "")</f>
        <v>5.6821374045801525</v>
      </c>
      <c r="W2" s="41">
        <f t="shared" ref="W2:W65" si="6">IFERROR($AJ2/($AD2/$AK2), "")</f>
        <v>40.510147761500008</v>
      </c>
      <c r="X2" s="41">
        <f t="shared" ref="X2:X65" si="7">IFERROR(($AF2-$AL2)/(($U2-$AI2)/$AK2), "")</f>
        <v>204.2550787084154</v>
      </c>
      <c r="Y2" s="37">
        <f t="shared" ref="Y2:Y65" si="8">IFERROR((($N2+$AI2-$AU2)/($AM2+$AS2)), "")</f>
        <v>-0.12141998444240153</v>
      </c>
      <c r="Z2" s="41">
        <f t="shared" ref="Z2:Z65" si="9">IFERROR(($AO2+$AN2)/(($U2-$AI2)/$AK2), "")</f>
        <v>45.391625583208871</v>
      </c>
      <c r="AA2" s="39">
        <f t="shared" ref="AA2:AA65" si="10">IFERROR(($N2+$AP2+$AI2-$AU2)/($AP2+$AQ2), "")</f>
        <v>-0.60202082057562767</v>
      </c>
      <c r="AB2" s="37">
        <f t="shared" ref="AB2:AB65" si="11">IFERROR($P2/$AR2, "")</f>
        <v>-5.0716146971896262E-2</v>
      </c>
      <c r="AC2" s="37">
        <f t="shared" ref="AC2:AC65" si="12">IFERROR($AS2/($AS2+$AT2), "")</f>
        <v>-1.8348952909869258</v>
      </c>
      <c r="AD2" s="38">
        <f>IFERROR(INDEX('Prior Year Data Pull'!$A$2:$CB$593,MATCH(C2,'Prior Year Data Pull'!$A$2:$A$593,0),MATCH("Net Patient Service Revenue",'Prior Year Data Pull'!$A$1:$CB$1,0)),"")</f>
        <v>126826000</v>
      </c>
      <c r="AE2" s="38">
        <f>IFERROR(INDEX('Prior Year Data Pull'!$A$2:$CB$593,MATCH(C2,'Prior Year Data Pull'!$A$2:$A$593,0),MATCH("Total Current Assets",'Prior Year Data Pull'!$A$1:$CB$1,0)),"")</f>
        <v>39837000</v>
      </c>
      <c r="AF2" s="38">
        <f>IFERROR(INDEX('Prior Year Data Pull'!$A$2:$CB$593,MATCH(C2,'Prior Year Data Pull'!$A$2:$A$593,0),MATCH("Total Current Liabilities",'Prior Year Data Pull'!$A$1:$CB$1,0)),"")</f>
        <v>89019000</v>
      </c>
      <c r="AG2" s="38">
        <f>IFERROR(INDEX('Prior Year Data Pull'!$A$2:$CB$593,MATCH(C2,'Prior Year Data Pull'!$A$2:$A$593,0),MATCH("Total Non Operating Revenue",'Prior Year Data Pull'!$A$1:$CB$1,0)),"")</f>
        <v>937000</v>
      </c>
      <c r="AH2" s="38">
        <f>IFERROR(INDEX('Prior Year Data Pull'!$A$2:$CB$593,MATCH(C2,'Prior Year Data Pull'!$A$2:$A$593,0),MATCH("Less Accumulated Depreciation",'Prior Year Data Pull'!$A$1:$CB$1,0)),"")</f>
        <v>37218000</v>
      </c>
      <c r="AI2" s="38">
        <f>IFERROR(INDEX('Prior Year Data Pull'!$A$2:$CB$593,MATCH(C2,'Prior Year Data Pull'!$A$2:$A$593,0),MATCH("Depreciation and Amortization Expense",'Prior Year Data Pull'!$A$1:$CB$1,0)),"")</f>
        <v>6550000</v>
      </c>
      <c r="AJ2" s="38">
        <f>IFERROR(INDEX('Prior Year Data Pull'!$A$2:$CB$593,MATCH(C2,'Prior Year Data Pull'!$A$2:$A$593,0),MATCH("Net Patient Accounts Receivable",'Prior Year Data Pull'!$A$1:$CB$1,0)),"")</f>
        <v>14076000</v>
      </c>
      <c r="AK2" s="14">
        <v>365</v>
      </c>
      <c r="AL2" s="38">
        <f>IFERROR(INDEX('Prior Year Data Pull'!$A$2:$CB$593,MATCH(C2,'Prior Year Data Pull'!$A$2:$A$593,0),MATCH("Estimated Third Party Settlements",'Prior Year Data Pull'!$A$1:$CB$1,0)),"")</f>
        <v>4341000</v>
      </c>
      <c r="AM2" s="38">
        <f>IFERROR(INDEX('Prior Year Data Pull'!$A$2:$CB$593,MATCH(C2,'Prior Year Data Pull'!$A$2:$A$593,0),MATCH("Current Liabilities due to Affiliates",'Prior Year Data Pull'!$A$1:$CB$1,0)),"")</f>
        <v>68987000</v>
      </c>
      <c r="AN2" s="38">
        <f>IFERROR(INDEX('Prior Year Data Pull'!$A$2:$CB$593,MATCH(C2,'Prior Year Data Pull'!$A$2:$A$593,0),MATCH("Short Term Investments",'Prior Year Data Pull'!$A$1:$CB$1,0)),"")</f>
        <v>17455000</v>
      </c>
      <c r="AO2" s="38">
        <f>IFERROR(INDEX('Prior Year Data Pull'!$A$2:$CB$593,MATCH(C2,'Prior Year Data Pull'!$A$2:$A$593,0),MATCH("Cash and Cash Equivalents",'Prior Year Data Pull'!$A$1:$CB$1,0)),"")</f>
        <v>1363000</v>
      </c>
      <c r="AP2" s="38">
        <f>IFERROR(INDEX('Prior Year Data Pull'!$A$2:$CB$593,MATCH(C2,'Prior Year Data Pull'!$A$2:$A$593,0),MATCH("Interest Expense",'Prior Year Data Pull'!$A$1:$CB$1,0)),"")</f>
        <v>471000</v>
      </c>
      <c r="AQ2" s="38">
        <f>IFERROR(INDEX('Prior Year Data Pull'!$A$2:$CB$593,MATCH(C2,'Prior Year Data Pull'!$A$2:$A$593,0),MATCH("Long Term Debt Net of Current Portion",'Prior Year Data Pull'!$A$1:$CB$1,0)),"")</f>
        <v>15859000</v>
      </c>
      <c r="AR2" s="38">
        <f>IFERROR(INDEX('Prior Year Data Pull'!$A$2:$CB$593,MATCH(C2,'Prior Year Data Pull'!$A$2:$A$593,0),MATCH("Total Assets",'Prior Year Data Pull'!$A$1:$CB$1,0)),"")</f>
        <v>114362000</v>
      </c>
      <c r="AS2" s="38">
        <f>IFERROR(INDEX('Prior Year Data Pull'!$A$2:$CB$593,MATCH(C2,'Prior Year Data Pull'!$A$2:$A$593,0),MATCH("Long Term Debt Net of Current Portion",'Prior Year Data Pull'!$A$1:$CB$1,0)),"")</f>
        <v>15859000</v>
      </c>
      <c r="AT2" s="38">
        <f>IFERROR(INDEX('Prior Year Data Pull'!$A$2:$CB$593,MATCH(C2,'Prior Year Data Pull'!$A$2:$A$593,0),MATCH("Net Unrestricted Assets",'Prior Year Data Pull'!$A$1:$CB$1,0)),"")</f>
        <v>-24502000</v>
      </c>
      <c r="AU2" s="38">
        <f>IFERROR(INDEX('Prior Year Data Pull'!$A$2:$CB$593,MATCH(C2,'Prior Year Data Pull'!$A$2:$A$593,0),MATCH("Unrealized Gains/Losses",'Prior Year Data Pull'!$A$1:$CB$1,0)),"")</f>
        <v>872000</v>
      </c>
      <c r="AV2" s="38">
        <f>IFERROR(INDEX('Prior Year Data Pull'!$A$2:$CB$593,MATCH(C2,'Prior Year Data Pull'!$A$2:$A$593,0),MATCH("Salary and Benefit Expense",'Prior Year Data Pull'!$A$1:$CB$1,0)),"")</f>
        <v>76931000</v>
      </c>
    </row>
    <row r="3" spans="1:83" ht="34.200000000000003" x14ac:dyDescent="0.3">
      <c r="A3" s="46" t="str">
        <f>IFERROR(INDEX('Static Data Tab'!$N$2:$N$610,MATCH(D3,'Static Data Tab'!$D$2:$D$610,0)), "")</f>
        <v>Heywood Healthcare</v>
      </c>
      <c r="B3" s="46" t="s">
        <v>135</v>
      </c>
      <c r="C3" s="46">
        <v>2</v>
      </c>
      <c r="D3" s="46">
        <v>12807</v>
      </c>
      <c r="E3" s="46" t="str">
        <f>IFERROR(INDEX('Prior Year Data Pull'!$A$1:$CB$593,MATCH(C3,'Prior Year Data Pull'!$A$1:$A$593,0),MATCH("Organization Type",'Prior Year Data Pull'!$A$1:$CB$1,0)),"")</f>
        <v>AcuteHospital</v>
      </c>
      <c r="F3" s="46" t="str">
        <f>IFERROR(INDEX('Static Data Tab'!$E$2:$E$610,MATCH(C3,'Static Data Tab'!$B$2:$B$610,0)), "-")</f>
        <v>Community-High Public Payer Hospital</v>
      </c>
      <c r="G3" s="46" t="str">
        <f>IFERROR(INDEX('Static Data Tab'!$J$2:$J$610,MATCH(C3,'Static Data Tab'!$B$2:$B$610,0)), "")</f>
        <v>Central Massachusetts</v>
      </c>
      <c r="H3" s="46" t="str">
        <f>IFERROR(INDEX('Static Data Tab'!$F$2:$F$610,MATCH(C3,'Static Data Tab'!$B$2:$B$610,0)), "")</f>
        <v>x</v>
      </c>
      <c r="I3" s="46">
        <f>IFERROR(INDEX('Static Data Tab'!$G$2:$G$610,MATCH(C3,'Static Data Tab'!$B$2:$B$610,0)), "")</f>
        <v>0</v>
      </c>
      <c r="J3" s="46" t="str">
        <f>IFERROR(INDEX('Prior Year Data Pull'!$A$2:$CB$593,MATCH(C3,'Prior Year Data Pull'!$A$2:$A$593,0),MATCH("Quarter Range",'Prior Year Data Pull'!$A$1:$CB$1,0)),"")</f>
        <v xml:space="preserve">10/01/2024-09/30/2025
</v>
      </c>
      <c r="K3" s="45">
        <f t="shared" si="0"/>
        <v>0.17707811028369658</v>
      </c>
      <c r="L3" s="45">
        <f t="shared" si="1"/>
        <v>2.2006084384952921E-4</v>
      </c>
      <c r="M3" s="45">
        <f t="shared" si="2"/>
        <v>0.17729817112754612</v>
      </c>
      <c r="N3" s="47">
        <f t="shared" si="3"/>
        <v>9181506</v>
      </c>
      <c r="O3" s="265">
        <f t="shared" si="4"/>
        <v>1.5025269731341253</v>
      </c>
      <c r="P3" s="47">
        <f>IFERROR(INDEX('Prior Year Data Pull'!$A$2:$CB$593,MATCH('Prior Year Data Table'!$C3,'Prior Year Data Pull'!$A$2:$A$593,0),MATCH("Total Net Assets or Equity",'Prior Year Data Pull'!$A$1:$CB$1,0)),"")</f>
        <v>26631444</v>
      </c>
      <c r="Q3" s="47">
        <f>IFERROR(INDEX('Prior Year Data Pull'!$A$2:$CB$593,MATCH('Prior Year Data Table'!$C3,'Prior Year Data Pull'!$A$2:$A$593,0),MATCH("Total Operating Revenue",'Prior Year Data Pull'!$A$1:$CB$1,0)),"")</f>
        <v>51774282</v>
      </c>
      <c r="R3" s="47">
        <f>IFERROR(INDEX('Prior Year Data Pull'!$A$2:$CB$593,MATCH('Prior Year Data Table'!$C3,'Prior Year Data Pull'!$A$2:$A$593,0),MATCH("Total Unrestricted Revenue Gains and Other Support",'Prior Year Data Pull'!$A$1:$CB$1,0)),"")</f>
        <v>51785678</v>
      </c>
      <c r="S3" s="47">
        <f>IFERROR(INDEX('Prior Year TS Data Pull'!$K$2:$K$607,MATCH(C3,'Prior Year TS Data Pull'!$A$2:$A$607,0))+INDEX('Prior Year TS Data Pull'!$O$2:$O$119,MATCH(C3,'Prior Year TS Data Pull'!$A$2:$A$607,0))+INDEX('Prior Year TS Data Pull'!$S$2:$S$119,MATCH(C3,'Prior Year TS Data Pull'!$A$2:$A$607,0)),"")</f>
        <v>780111.26</v>
      </c>
      <c r="T3" s="47">
        <f>IF(INDEX('Prior Year TS Data Pull'!$A$1:$O$607,MATCH(C3,'Prior Year TS Data Pull'!$A$1:$A$607,0),MATCH("Temporary RN Staffing:
Line Reported on in Standardized Financials",'Prior Year TS Data Pull'!$A$1:$O$1,0))="66.1: Salary and Benefit Expense",'Prior Year Data Table'!$AV3-'Prior Year Data Table'!$S3,0)</f>
        <v>0</v>
      </c>
      <c r="U3" s="47">
        <f>IFERROR(INDEX('Prior Year Data Pull'!$A$2:$CB$593,MATCH(C3,'Prior Year Data Pull'!$A$2:$A$593,0),MATCH("Total Expenses Including Nonrecurring Gains Losses",'Prior Year Data Pull'!$A$1:$CB$1,0)),"")</f>
        <v>42604172</v>
      </c>
      <c r="V3" s="266">
        <f t="shared" si="5"/>
        <v>23.527098565035057</v>
      </c>
      <c r="W3" s="266">
        <f t="shared" si="6"/>
        <v>39.514294011828305</v>
      </c>
      <c r="X3" s="266">
        <f t="shared" si="7"/>
        <v>68.60780752966987</v>
      </c>
      <c r="Y3" s="45" t="str">
        <f t="shared" si="8"/>
        <v/>
      </c>
      <c r="Z3" s="266">
        <f t="shared" si="9"/>
        <v>56.690186164582485</v>
      </c>
      <c r="AA3" s="265">
        <f t="shared" si="10"/>
        <v>76943.96875</v>
      </c>
      <c r="AB3" s="45">
        <f t="shared" si="11"/>
        <v>0.77149667018596468</v>
      </c>
      <c r="AC3" s="45">
        <f t="shared" si="12"/>
        <v>0</v>
      </c>
      <c r="AD3" s="47">
        <f>IFERROR(INDEX('Prior Year Data Pull'!$A$2:$CB$593,MATCH(C3,'Prior Year Data Pull'!$A$2:$A$593,0),MATCH("Net Patient Service Revenue",'Prior Year Data Pull'!$A$1:$CB$1,0)),"")</f>
        <v>42721771</v>
      </c>
      <c r="AE3" s="47">
        <f>IFERROR(INDEX('Prior Year Data Pull'!$A$2:$CB$593,MATCH(C3,'Prior Year Data Pull'!$A$2:$A$593,0),MATCH("Total Current Assets",'Prior Year Data Pull'!$A$1:$CB$1,0)),"")</f>
        <v>11844046</v>
      </c>
      <c r="AF3" s="47">
        <f>IFERROR(INDEX('Prior Year Data Pull'!$A$2:$CB$593,MATCH(C3,'Prior Year Data Pull'!$A$2:$A$593,0),MATCH("Total Current Liabilities",'Prior Year Data Pull'!$A$1:$CB$1,0)),"")</f>
        <v>7882751</v>
      </c>
      <c r="AG3" s="47">
        <f>IFERROR(INDEX('Prior Year Data Pull'!$A$2:$CB$593,MATCH(C3,'Prior Year Data Pull'!$A$2:$A$593,0),MATCH("Total Non Operating Revenue",'Prior Year Data Pull'!$A$1:$CB$1,0)),"")</f>
        <v>11396</v>
      </c>
      <c r="AH3" s="47">
        <f>IFERROR(INDEX('Prior Year Data Pull'!$A$2:$CB$593,MATCH(C3,'Prior Year Data Pull'!$A$2:$A$593,0),MATCH("Less Accumulated Depreciation",'Prior Year Data Pull'!$A$1:$CB$1,0)),"")</f>
        <v>15697139</v>
      </c>
      <c r="AI3" s="47">
        <f>IFERROR(INDEX('Prior Year Data Pull'!$A$2:$CB$593,MATCH(C3,'Prior Year Data Pull'!$A$2:$A$593,0),MATCH("Depreciation and Amortization Expense",'Prior Year Data Pull'!$A$1:$CB$1,0)),"")</f>
        <v>667194</v>
      </c>
      <c r="AJ3" s="47">
        <f>IFERROR(INDEX('Prior Year Data Pull'!$A$2:$CB$593,MATCH(C3,'Prior Year Data Pull'!$A$2:$A$593,0),MATCH("Net Patient Accounts Receivable",'Prior Year Data Pull'!$A$1:$CB$1,0)),"")</f>
        <v>4624988</v>
      </c>
      <c r="AK3" s="46">
        <v>365</v>
      </c>
      <c r="AL3" s="47">
        <f>IFERROR(INDEX('Prior Year Data Pull'!$A$2:$CB$593,MATCH(C3,'Prior Year Data Pull'!$A$2:$A$593,0),MATCH("Estimated Third Party Settlements",'Prior Year Data Pull'!$A$1:$CB$1,0)),"")</f>
        <v>0</v>
      </c>
      <c r="AM3" s="47">
        <f>IFERROR(INDEX('Prior Year Data Pull'!$A$2:$CB$593,MATCH(C3,'Prior Year Data Pull'!$A$2:$A$593,0),MATCH("Current Liabilities due to Affiliates",'Prior Year Data Pull'!$A$1:$CB$1,0)),"")</f>
        <v>0</v>
      </c>
      <c r="AN3" s="47">
        <f>IFERROR(INDEX('Prior Year Data Pull'!$A$2:$CB$593,MATCH(C3,'Prior Year Data Pull'!$A$2:$A$593,0),MATCH("Short Term Investments",'Prior Year Data Pull'!$A$1:$CB$1,0)),"")</f>
        <v>0</v>
      </c>
      <c r="AO3" s="47">
        <f>IFERROR(INDEX('Prior Year Data Pull'!$A$2:$CB$593,MATCH(C3,'Prior Year Data Pull'!$A$2:$A$593,0),MATCH("Cash and Cash Equivalents",'Prior Year Data Pull'!$A$1:$CB$1,0)),"")</f>
        <v>6513466</v>
      </c>
      <c r="AP3" s="47">
        <f>IFERROR(INDEX('Prior Year Data Pull'!$A$2:$CB$593,MATCH(C3,'Prior Year Data Pull'!$A$2:$A$593,0),MATCH("Interest Expense",'Prior Year Data Pull'!$A$1:$CB$1,0)),"")</f>
        <v>128</v>
      </c>
      <c r="AQ3" s="47">
        <f>IFERROR(INDEX('Prior Year Data Pull'!$A$2:$CB$593,MATCH(C3,'Prior Year Data Pull'!$A$2:$A$593,0),MATCH("Long Term Debt Net of Current Portion",'Prior Year Data Pull'!$A$1:$CB$1,0)),"")</f>
        <v>0</v>
      </c>
      <c r="AR3" s="47">
        <f>IFERROR(INDEX('Prior Year Data Pull'!$A$2:$CB$593,MATCH(C3,'Prior Year Data Pull'!$A$2:$A$593,0),MATCH("Total Assets",'Prior Year Data Pull'!$A$1:$CB$1,0)),"")</f>
        <v>34519195</v>
      </c>
      <c r="AS3" s="47">
        <f>IFERROR(INDEX('Prior Year Data Pull'!$A$2:$CB$593,MATCH(C3,'Prior Year Data Pull'!$A$2:$A$593,0),MATCH("Long Term Debt Net of Current Portion",'Prior Year Data Pull'!$A$1:$CB$1,0)),"")</f>
        <v>0</v>
      </c>
      <c r="AT3" s="47">
        <f>IFERROR(INDEX('Prior Year Data Pull'!$A$2:$CB$593,MATCH(C3,'Prior Year Data Pull'!$A$2:$A$593,0),MATCH("Net Unrestricted Assets",'Prior Year Data Pull'!$A$1:$CB$1,0)),"")</f>
        <v>24719451</v>
      </c>
      <c r="AU3" s="47">
        <f>IFERROR(INDEX('Prior Year Data Pull'!$A$2:$CB$593,MATCH(C3,'Prior Year Data Pull'!$A$2:$A$593,0),MATCH("Unrealized Gains/Losses",'Prior Year Data Pull'!$A$1:$CB$1,0)),"")</f>
        <v>0</v>
      </c>
      <c r="AV3" s="47">
        <f>IFERROR(INDEX('Prior Year Data Pull'!$A$2:$CB$593,MATCH(C3,'Prior Year Data Pull'!$A$2:$A$593,0),MATCH("Salary and Benefit Expense",'Prior Year Data Pull'!$A$1:$CB$1,0)),"")</f>
        <v>15927036</v>
      </c>
    </row>
    <row r="4" spans="1:83" ht="34.200000000000003" x14ac:dyDescent="0.3">
      <c r="A4" s="14" t="str">
        <f>IFERROR(INDEX('Static Data Tab'!$N$2:$N$610,MATCH(D4,'Static Data Tab'!$D$2:$D$610,0)), "")</f>
        <v xml:space="preserve">Baystate Health </v>
      </c>
      <c r="B4" s="14" t="s">
        <v>79</v>
      </c>
      <c r="C4" s="14">
        <v>4</v>
      </c>
      <c r="D4" s="14">
        <v>4066</v>
      </c>
      <c r="E4" s="14" t="str">
        <f>IFERROR(INDEX('Prior Year Data Pull'!$A$1:$CB$593,MATCH(C4,'Prior Year Data Pull'!$A$1:$A$593,0),MATCH("Organization Type",'Prior Year Data Pull'!$A$1:$CB$1,0)),"")</f>
        <v>AcuteHospital</v>
      </c>
      <c r="F4" s="14" t="str">
        <f>IFERROR(INDEX('Static Data Tab'!$E$2:$E$610,MATCH(C4,'Static Data Tab'!$B$2:$B$610,0)), "-")</f>
        <v>Teaching Hospital</v>
      </c>
      <c r="G4" s="14" t="str">
        <f>IFERROR(INDEX('Static Data Tab'!$J$2:$J$610,MATCH(C4,'Static Data Tab'!$B$2:$B$610,0)), "")</f>
        <v>Western Massachusetts</v>
      </c>
      <c r="H4" s="14" t="str">
        <f>IFERROR(INDEX('Static Data Tab'!$F$2:$F$610,MATCH(C4,'Static Data Tab'!$B$2:$B$610,0)), "")</f>
        <v>x</v>
      </c>
      <c r="I4" s="14" t="str">
        <f>IFERROR(INDEX('Static Data Tab'!$G$2:$G$610,MATCH(C4,'Static Data Tab'!$B$2:$B$610,0)), "")</f>
        <v>x</v>
      </c>
      <c r="J4" s="14" t="str">
        <f>IFERROR(INDEX('Prior Year Data Pull'!$A$2:$CB$593,MATCH(C4,'Prior Year Data Pull'!$A$2:$A$593,0),MATCH("Quarter Range",'Prior Year Data Pull'!$A$1:$CB$1,0)),"")</f>
        <v xml:space="preserve">10/01/2024-09/30/2025
</v>
      </c>
      <c r="K4" s="37">
        <f t="shared" si="0"/>
        <v>4.9964888397832426E-2</v>
      </c>
      <c r="L4" s="37">
        <f t="shared" si="1"/>
        <v>2.24397889948495E-2</v>
      </c>
      <c r="M4" s="37">
        <f t="shared" si="2"/>
        <v>7.2404677392681929E-2</v>
      </c>
      <c r="N4" s="38">
        <f t="shared" si="3"/>
        <v>151051000</v>
      </c>
      <c r="O4" s="39">
        <f t="shared" si="4"/>
        <v>2.9419544208719404</v>
      </c>
      <c r="P4" s="38">
        <f>IFERROR(INDEX('Prior Year Data Pull'!$A$2:$CB$593,MATCH('Prior Year Data Table'!$C4,'Prior Year Data Pull'!$A$2:$A$593,0),MATCH("Total Net Assets or Equity",'Prior Year Data Pull'!$A$1:$CB$1,0)),"")</f>
        <v>1020898000</v>
      </c>
      <c r="Q4" s="38">
        <f>IFERROR(INDEX('Prior Year Data Pull'!$A$2:$CB$593,MATCH('Prior Year Data Table'!$C4,'Prior Year Data Pull'!$A$2:$A$593,0),MATCH("Total Operating Revenue",'Prior Year Data Pull'!$A$1:$CB$1,0)),"")</f>
        <v>2039391000</v>
      </c>
      <c r="R4" s="38">
        <f>IFERROR(INDEX('Prior Year Data Pull'!$A$2:$CB$593,MATCH('Prior Year Data Table'!$C4,'Prior Year Data Pull'!$A$2:$A$593,0),MATCH("Total Unrestricted Revenue Gains and Other Support",'Prior Year Data Pull'!$A$1:$CB$1,0)),"")</f>
        <v>2086205000</v>
      </c>
      <c r="S4" s="38">
        <f>IFERROR(INDEX('Prior Year TS Data Pull'!$K$2:$K$607,MATCH(C4,'Prior Year TS Data Pull'!$A$2:$A$607,0))+INDEX('Prior Year TS Data Pull'!$O$2:$O$119,MATCH(C4,'Prior Year TS Data Pull'!$A$2:$A$607,0))+INDEX('Prior Year TS Data Pull'!$S$2:$S$119,MATCH(C4,'Prior Year TS Data Pull'!$A$2:$A$607,0)),"")</f>
        <v>2631191.94</v>
      </c>
      <c r="T4" s="38">
        <f>IF(INDEX('Prior Year TS Data Pull'!$A$1:$O$607,MATCH(C4,'Prior Year TS Data Pull'!$A$1:$A$607,0),MATCH("Temporary RN Staffing:
Line Reported on in Standardized Financials",'Prior Year TS Data Pull'!$A$1:$O$1,0))="66.1: Salary and Benefit Expense",'Prior Year Data Table'!$AV4-'Prior Year Data Table'!$S4,0)</f>
        <v>0</v>
      </c>
      <c r="U4" s="38">
        <f>IFERROR(INDEX('Prior Year Data Pull'!$A$2:$CB$593,MATCH(C4,'Prior Year Data Pull'!$A$2:$A$593,0),MATCH("Total Expenses Including Nonrecurring Gains Losses",'Prior Year Data Pull'!$A$1:$CB$1,0)),"")</f>
        <v>1935154000</v>
      </c>
      <c r="V4" s="41">
        <f t="shared" si="5"/>
        <v>17.95049550587693</v>
      </c>
      <c r="W4" s="41">
        <f t="shared" si="6"/>
        <v>38.448406754406449</v>
      </c>
      <c r="X4" s="41">
        <f t="shared" si="7"/>
        <v>35.744868237482144</v>
      </c>
      <c r="Y4" s="37">
        <f t="shared" si="8"/>
        <v>0.39735884157521445</v>
      </c>
      <c r="Z4" s="41">
        <f t="shared" si="9"/>
        <v>44.329858951728518</v>
      </c>
      <c r="AA4" s="39">
        <f t="shared" si="10"/>
        <v>0.41783247378689442</v>
      </c>
      <c r="AB4" s="37">
        <f t="shared" si="11"/>
        <v>0.59312740092446481</v>
      </c>
      <c r="AC4" s="37">
        <f t="shared" si="12"/>
        <v>0.30883076090049422</v>
      </c>
      <c r="AD4" s="38">
        <f>IFERROR(INDEX('Prior Year Data Pull'!$A$2:$CB$593,MATCH(C4,'Prior Year Data Pull'!$A$2:$A$593,0),MATCH("Net Patient Service Revenue",'Prior Year Data Pull'!$A$1:$CB$1,0)),"")</f>
        <v>1906015000</v>
      </c>
      <c r="AE4" s="38">
        <f>IFERROR(INDEX('Prior Year Data Pull'!$A$2:$CB$593,MATCH(C4,'Prior Year Data Pull'!$A$2:$A$593,0),MATCH("Total Current Assets",'Prior Year Data Pull'!$A$1:$CB$1,0)),"")</f>
        <v>620417000</v>
      </c>
      <c r="AF4" s="38">
        <f>IFERROR(INDEX('Prior Year Data Pull'!$A$2:$CB$593,MATCH(C4,'Prior Year Data Pull'!$A$2:$A$593,0),MATCH("Total Current Liabilities",'Prior Year Data Pull'!$A$1:$CB$1,0)),"")</f>
        <v>210886000</v>
      </c>
      <c r="AG4" s="38">
        <f>IFERROR(INDEX('Prior Year Data Pull'!$A$2:$CB$593,MATCH(C4,'Prior Year Data Pull'!$A$2:$A$593,0),MATCH("Total Non Operating Revenue",'Prior Year Data Pull'!$A$1:$CB$1,0)),"")</f>
        <v>46814000</v>
      </c>
      <c r="AH4" s="38">
        <f>IFERROR(INDEX('Prior Year Data Pull'!$A$2:$CB$593,MATCH(C4,'Prior Year Data Pull'!$A$2:$A$593,0),MATCH("Less Accumulated Depreciation",'Prior Year Data Pull'!$A$1:$CB$1,0)),"")</f>
        <v>1168308000</v>
      </c>
      <c r="AI4" s="38">
        <f>IFERROR(INDEX('Prior Year Data Pull'!$A$2:$CB$593,MATCH(C4,'Prior Year Data Pull'!$A$2:$A$593,0),MATCH("Depreciation and Amortization Expense",'Prior Year Data Pull'!$A$1:$CB$1,0)),"")</f>
        <v>65085000</v>
      </c>
      <c r="AJ4" s="38">
        <f>IFERROR(INDEX('Prior Year Data Pull'!$A$2:$CB$593,MATCH(C4,'Prior Year Data Pull'!$A$2:$A$593,0),MATCH("Net Patient Accounts Receivable",'Prior Year Data Pull'!$A$1:$CB$1,0)),"")</f>
        <v>200776000</v>
      </c>
      <c r="AK4" s="14">
        <v>365</v>
      </c>
      <c r="AL4" s="38">
        <f>IFERROR(INDEX('Prior Year Data Pull'!$A$2:$CB$593,MATCH(C4,'Prior Year Data Pull'!$A$2:$A$593,0),MATCH("Estimated Third Party Settlements",'Prior Year Data Pull'!$A$1:$CB$1,0)),"")</f>
        <v>27748000</v>
      </c>
      <c r="AM4" s="38">
        <f>IFERROR(INDEX('Prior Year Data Pull'!$A$2:$CB$593,MATCH(C4,'Prior Year Data Pull'!$A$2:$A$593,0),MATCH("Current Liabilities due to Affiliates",'Prior Year Data Pull'!$A$1:$CB$1,0)),"")</f>
        <v>67000</v>
      </c>
      <c r="AN4" s="38">
        <f>IFERROR(INDEX('Prior Year Data Pull'!$A$2:$CB$593,MATCH(C4,'Prior Year Data Pull'!$A$2:$A$593,0),MATCH("Short Term Investments",'Prior Year Data Pull'!$A$1:$CB$1,0)),"")</f>
        <v>98618000</v>
      </c>
      <c r="AO4" s="38">
        <f>IFERROR(INDEX('Prior Year Data Pull'!$A$2:$CB$593,MATCH(C4,'Prior Year Data Pull'!$A$2:$A$593,0),MATCH("Cash and Cash Equivalents",'Prior Year Data Pull'!$A$1:$CB$1,0)),"")</f>
        <v>128505000</v>
      </c>
      <c r="AP4" s="38">
        <f>IFERROR(INDEX('Prior Year Data Pull'!$A$2:$CB$593,MATCH(C4,'Prior Year Data Pull'!$A$2:$A$593,0),MATCH("Interest Expense",'Prior Year Data Pull'!$A$1:$CB$1,0)),"")</f>
        <v>15680000</v>
      </c>
      <c r="AQ4" s="38">
        <f>IFERROR(INDEX('Prior Year Data Pull'!$A$2:$CB$593,MATCH(C4,'Prior Year Data Pull'!$A$2:$A$593,0),MATCH("Long Term Debt Net of Current Portion",'Prior Year Data Pull'!$A$1:$CB$1,0)),"")</f>
        <v>447161000</v>
      </c>
      <c r="AR4" s="38">
        <f>IFERROR(INDEX('Prior Year Data Pull'!$A$2:$CB$593,MATCH(C4,'Prior Year Data Pull'!$A$2:$A$593,0),MATCH("Total Assets",'Prior Year Data Pull'!$A$1:$CB$1,0)),"")</f>
        <v>1721212000</v>
      </c>
      <c r="AS4" s="38">
        <f>IFERROR(INDEX('Prior Year Data Pull'!$A$2:$CB$593,MATCH(C4,'Prior Year Data Pull'!$A$2:$A$593,0),MATCH("Long Term Debt Net of Current Portion",'Prior Year Data Pull'!$A$1:$CB$1,0)),"")</f>
        <v>447161000</v>
      </c>
      <c r="AT4" s="38">
        <f>IFERROR(INDEX('Prior Year Data Pull'!$A$2:$CB$593,MATCH(C4,'Prior Year Data Pull'!$A$2:$A$593,0),MATCH("Net Unrestricted Assets",'Prior Year Data Pull'!$A$1:$CB$1,0)),"")</f>
        <v>1000755000</v>
      </c>
      <c r="AU4" s="38">
        <f>IFERROR(INDEX('Prior Year Data Pull'!$A$2:$CB$593,MATCH(C4,'Prior Year Data Pull'!$A$2:$A$593,0),MATCH("Unrealized Gains/Losses",'Prior Year Data Pull'!$A$1:$CB$1,0)),"")</f>
        <v>38426000</v>
      </c>
      <c r="AV4" s="38">
        <f>IFERROR(INDEX('Prior Year Data Pull'!$A$2:$CB$593,MATCH(C4,'Prior Year Data Pull'!$A$2:$A$593,0),MATCH("Salary and Benefit Expense",'Prior Year Data Pull'!$A$1:$CB$1,0)),"")</f>
        <v>666555000</v>
      </c>
    </row>
    <row r="5" spans="1:83" ht="34.200000000000003" x14ac:dyDescent="0.3">
      <c r="A5" s="46" t="str">
        <f>IFERROR(INDEX('Static Data Tab'!$N$2:$N$610,MATCH(D5,'Static Data Tab'!$D$2:$D$610,0)), "")</f>
        <v xml:space="preserve">Baystate Health </v>
      </c>
      <c r="B5" s="46" t="s">
        <v>76</v>
      </c>
      <c r="C5" s="46">
        <v>5</v>
      </c>
      <c r="D5" s="46">
        <v>4066</v>
      </c>
      <c r="E5" s="46" t="str">
        <f>IFERROR(INDEX('Prior Year Data Pull'!$A$1:$CB$593,MATCH(C5,'Prior Year Data Pull'!$A$1:$A$593,0),MATCH("Organization Type",'Prior Year Data Pull'!$A$1:$CB$1,0)),"")</f>
        <v>AcuteHospital</v>
      </c>
      <c r="F5" s="46" t="str">
        <f>IFERROR(INDEX('Static Data Tab'!$E$2:$E$610,MATCH(C5,'Static Data Tab'!$B$2:$B$610,0)), "-")</f>
        <v>Community-High Public Payer Hospital</v>
      </c>
      <c r="G5" s="46" t="str">
        <f>IFERROR(INDEX('Static Data Tab'!$J$2:$J$610,MATCH(C5,'Static Data Tab'!$B$2:$B$610,0)), "")</f>
        <v>Western Massachusetts</v>
      </c>
      <c r="H5" s="46" t="str">
        <f>IFERROR(INDEX('Static Data Tab'!$F$2:$F$610,MATCH(C5,'Static Data Tab'!$B$2:$B$610,0)), "")</f>
        <v>x</v>
      </c>
      <c r="I5" s="46">
        <f>IFERROR(INDEX('Static Data Tab'!$G$2:$G$610,MATCH(C5,'Static Data Tab'!$B$2:$B$610,0)), "")</f>
        <v>0</v>
      </c>
      <c r="J5" s="46" t="str">
        <f>IFERROR(INDEX('Prior Year Data Pull'!$A$2:$CB$593,MATCH(C5,'Prior Year Data Pull'!$A$2:$A$593,0),MATCH("Quarter Range",'Prior Year Data Pull'!$A$1:$CB$1,0)),"")</f>
        <v xml:space="preserve">10/01/2024-09/30/2025
</v>
      </c>
      <c r="K5" s="45">
        <f t="shared" si="0"/>
        <v>4.9274788945396997E-2</v>
      </c>
      <c r="L5" s="45">
        <f t="shared" si="1"/>
        <v>2.1185223944407932E-3</v>
      </c>
      <c r="M5" s="45">
        <f t="shared" si="2"/>
        <v>5.1393311339837794E-2</v>
      </c>
      <c r="N5" s="47">
        <f t="shared" si="3"/>
        <v>8054000</v>
      </c>
      <c r="O5" s="265">
        <f t="shared" si="4"/>
        <v>2.0358819169960474</v>
      </c>
      <c r="P5" s="47">
        <f>IFERROR(INDEX('Prior Year Data Pull'!$A$2:$CB$593,MATCH('Prior Year Data Table'!$C5,'Prior Year Data Pull'!$A$2:$A$593,0),MATCH("Total Net Assets or Equity",'Prior Year Data Pull'!$A$1:$CB$1,0)),"")</f>
        <v>66790000</v>
      </c>
      <c r="Q5" s="47">
        <f>IFERROR(INDEX('Prior Year Data Pull'!$A$2:$CB$593,MATCH('Prior Year Data Table'!$C5,'Prior Year Data Pull'!$A$2:$A$593,0),MATCH("Total Operating Revenue",'Prior Year Data Pull'!$A$1:$CB$1,0)),"")</f>
        <v>156381000</v>
      </c>
      <c r="R5" s="47">
        <f>IFERROR(INDEX('Prior Year Data Pull'!$A$2:$CB$593,MATCH('Prior Year Data Table'!$C5,'Prior Year Data Pull'!$A$2:$A$593,0),MATCH("Total Unrestricted Revenue Gains and Other Support",'Prior Year Data Pull'!$A$1:$CB$1,0)),"")</f>
        <v>156713000</v>
      </c>
      <c r="S5" s="47">
        <f>IFERROR(INDEX('Prior Year TS Data Pull'!$K$2:$K$607,MATCH(C5,'Prior Year TS Data Pull'!$A$2:$A$607,0))+INDEX('Prior Year TS Data Pull'!$O$2:$O$119,MATCH(C5,'Prior Year TS Data Pull'!$A$2:$A$607,0))+INDEX('Prior Year TS Data Pull'!$S$2:$S$119,MATCH(C5,'Prior Year TS Data Pull'!$A$2:$A$607,0)),"")</f>
        <v>451117.73</v>
      </c>
      <c r="T5" s="47">
        <f>IF(INDEX('Prior Year TS Data Pull'!$A$1:$O$607,MATCH(C5,'Prior Year TS Data Pull'!$A$1:$A$607,0),MATCH("Temporary RN Staffing:
Line Reported on in Standardized Financials",'Prior Year TS Data Pull'!$A$1:$O$1,0))="66.1: Salary and Benefit Expense",'Prior Year Data Table'!$AV5-'Prior Year Data Table'!$S5,0)</f>
        <v>0</v>
      </c>
      <c r="U5" s="47">
        <f>IFERROR(INDEX('Prior Year Data Pull'!$A$2:$CB$593,MATCH(C5,'Prior Year Data Pull'!$A$2:$A$593,0),MATCH("Total Expenses Including Nonrecurring Gains Losses",'Prior Year Data Pull'!$A$1:$CB$1,0)),"")</f>
        <v>148659000</v>
      </c>
      <c r="V5" s="266">
        <f t="shared" si="5"/>
        <v>27.882748157780668</v>
      </c>
      <c r="W5" s="266">
        <f t="shared" si="6"/>
        <v>32.609747037358062</v>
      </c>
      <c r="X5" s="266">
        <f t="shared" si="7"/>
        <v>36.815474330938251</v>
      </c>
      <c r="Y5" s="45">
        <f t="shared" si="8"/>
        <v>0.71224039386565563</v>
      </c>
      <c r="Z5" s="266">
        <f t="shared" si="9"/>
        <v>40.297094657919402</v>
      </c>
      <c r="AA5" s="265">
        <f t="shared" si="10"/>
        <v>0.80385988263052821</v>
      </c>
      <c r="AB5" s="45">
        <f t="shared" si="11"/>
        <v>0.67436718126836359</v>
      </c>
      <c r="AC5" s="45">
        <f t="shared" si="12"/>
        <v>0.25689383733952248</v>
      </c>
      <c r="AD5" s="47">
        <f>IFERROR(INDEX('Prior Year Data Pull'!$A$2:$CB$593,MATCH(C5,'Prior Year Data Pull'!$A$2:$A$593,0),MATCH("Net Patient Service Revenue",'Prior Year Data Pull'!$A$1:$CB$1,0)),"")</f>
        <v>137293000</v>
      </c>
      <c r="AE5" s="47">
        <f>IFERROR(INDEX('Prior Year Data Pull'!$A$2:$CB$593,MATCH(C5,'Prior Year Data Pull'!$A$2:$A$593,0),MATCH("Total Current Assets",'Prior Year Data Pull'!$A$1:$CB$1,0)),"")</f>
        <v>32965000</v>
      </c>
      <c r="AF5" s="47">
        <f>IFERROR(INDEX('Prior Year Data Pull'!$A$2:$CB$593,MATCH(C5,'Prior Year Data Pull'!$A$2:$A$593,0),MATCH("Total Current Liabilities",'Prior Year Data Pull'!$A$1:$CB$1,0)),"")</f>
        <v>16192000</v>
      </c>
      <c r="AG5" s="47">
        <f>IFERROR(INDEX('Prior Year Data Pull'!$A$2:$CB$593,MATCH(C5,'Prior Year Data Pull'!$A$2:$A$593,0),MATCH("Total Non Operating Revenue",'Prior Year Data Pull'!$A$1:$CB$1,0)),"")</f>
        <v>332000</v>
      </c>
      <c r="AH5" s="47">
        <f>IFERROR(INDEX('Prior Year Data Pull'!$A$2:$CB$593,MATCH(C5,'Prior Year Data Pull'!$A$2:$A$593,0),MATCH("Less Accumulated Depreciation",'Prior Year Data Pull'!$A$1:$CB$1,0)),"")</f>
        <v>128651000</v>
      </c>
      <c r="AI5" s="47">
        <f>IFERROR(INDEX('Prior Year Data Pull'!$A$2:$CB$593,MATCH(C5,'Prior Year Data Pull'!$A$2:$A$593,0),MATCH("Depreciation and Amortization Expense",'Prior Year Data Pull'!$A$1:$CB$1,0)),"")</f>
        <v>4614000</v>
      </c>
      <c r="AJ5" s="47">
        <f>IFERROR(INDEX('Prior Year Data Pull'!$A$2:$CB$593,MATCH(C5,'Prior Year Data Pull'!$A$2:$A$593,0),MATCH("Net Patient Accounts Receivable",'Prior Year Data Pull'!$A$1:$CB$1,0)),"")</f>
        <v>12266000</v>
      </c>
      <c r="AK5" s="46">
        <v>365</v>
      </c>
      <c r="AL5" s="47">
        <f>IFERROR(INDEX('Prior Year Data Pull'!$A$2:$CB$593,MATCH(C5,'Prior Year Data Pull'!$A$2:$A$593,0),MATCH("Estimated Third Party Settlements",'Prior Year Data Pull'!$A$1:$CB$1,0)),"")</f>
        <v>1663000</v>
      </c>
      <c r="AM5" s="47">
        <f>IFERROR(INDEX('Prior Year Data Pull'!$A$2:$CB$593,MATCH(C5,'Prior Year Data Pull'!$A$2:$A$593,0),MATCH("Current Liabilities due to Affiliates",'Prior Year Data Pull'!$A$1:$CB$1,0)),"")</f>
        <v>1843000</v>
      </c>
      <c r="AN5" s="47">
        <f>IFERROR(INDEX('Prior Year Data Pull'!$A$2:$CB$593,MATCH(C5,'Prior Year Data Pull'!$A$2:$A$593,0),MATCH("Short Term Investments",'Prior Year Data Pull'!$A$1:$CB$1,0)),"")</f>
        <v>506000</v>
      </c>
      <c r="AO5" s="47">
        <f>IFERROR(INDEX('Prior Year Data Pull'!$A$2:$CB$593,MATCH(C5,'Prior Year Data Pull'!$A$2:$A$593,0),MATCH("Cash and Cash Equivalents",'Prior Year Data Pull'!$A$1:$CB$1,0)),"")</f>
        <v>15397000</v>
      </c>
      <c r="AP5" s="47">
        <f>IFERROR(INDEX('Prior Year Data Pull'!$A$2:$CB$593,MATCH(C5,'Prior Year Data Pull'!$A$2:$A$593,0),MATCH("Interest Expense",'Prior Year Data Pull'!$A$1:$CB$1,0)),"")</f>
        <v>701000</v>
      </c>
      <c r="AQ5" s="47">
        <f>IFERROR(INDEX('Prior Year Data Pull'!$A$2:$CB$593,MATCH(C5,'Prior Year Data Pull'!$A$2:$A$593,0),MATCH("Long Term Debt Net of Current Portion",'Prior Year Data Pull'!$A$1:$CB$1,0)),"")</f>
        <v>15828000</v>
      </c>
      <c r="AR5" s="47">
        <f>IFERROR(INDEX('Prior Year Data Pull'!$A$2:$CB$593,MATCH(C5,'Prior Year Data Pull'!$A$2:$A$593,0),MATCH("Total Assets",'Prior Year Data Pull'!$A$1:$CB$1,0)),"")</f>
        <v>99041000</v>
      </c>
      <c r="AS5" s="47">
        <f>IFERROR(INDEX('Prior Year Data Pull'!$A$2:$CB$593,MATCH(C5,'Prior Year Data Pull'!$A$2:$A$593,0),MATCH("Long Term Debt Net of Current Portion",'Prior Year Data Pull'!$A$1:$CB$1,0)),"")</f>
        <v>15828000</v>
      </c>
      <c r="AT5" s="47">
        <f>IFERROR(INDEX('Prior Year Data Pull'!$A$2:$CB$593,MATCH(C5,'Prior Year Data Pull'!$A$2:$A$593,0),MATCH("Net Unrestricted Assets",'Prior Year Data Pull'!$A$1:$CB$1,0)),"")</f>
        <v>45785000</v>
      </c>
      <c r="AU5" s="47">
        <f>IFERROR(INDEX('Prior Year Data Pull'!$A$2:$CB$593,MATCH(C5,'Prior Year Data Pull'!$A$2:$A$593,0),MATCH("Unrealized Gains/Losses",'Prior Year Data Pull'!$A$1:$CB$1,0)),"")</f>
        <v>82000</v>
      </c>
      <c r="AV5" s="47">
        <f>IFERROR(INDEX('Prior Year Data Pull'!$A$2:$CB$593,MATCH(C5,'Prior Year Data Pull'!$A$2:$A$593,0),MATCH("Salary and Benefit Expense",'Prior Year Data Pull'!$A$1:$CB$1,0)),"")</f>
        <v>53912000</v>
      </c>
    </row>
    <row r="6" spans="1:83" ht="34.200000000000003" x14ac:dyDescent="0.3">
      <c r="A6" s="14" t="str">
        <f>IFERROR(INDEX('Static Data Tab'!$N$2:$N$610,MATCH(D6,'Static Data Tab'!$D$2:$D$610,0)), "")</f>
        <v>Berkshire Health Systems</v>
      </c>
      <c r="B6" s="14" t="s">
        <v>87</v>
      </c>
      <c r="C6" s="14">
        <v>8</v>
      </c>
      <c r="D6" s="14">
        <v>3106</v>
      </c>
      <c r="E6" s="14" t="str">
        <f>IFERROR(INDEX('Prior Year Data Pull'!$A$1:$CB$593,MATCH(C6,'Prior Year Data Pull'!$A$1:$A$593,0),MATCH("Organization Type",'Prior Year Data Pull'!$A$1:$CB$1,0)),"")</f>
        <v>AcuteHospital</v>
      </c>
      <c r="F6" s="14" t="str">
        <f>IFERROR(INDEX('Static Data Tab'!$E$2:$E$610,MATCH(C6,'Static Data Tab'!$B$2:$B$610,0)), "-")</f>
        <v>Community-High Public Payer Hospital</v>
      </c>
      <c r="G6" s="14" t="str">
        <f>IFERROR(INDEX('Static Data Tab'!$J$2:$J$610,MATCH(C6,'Static Data Tab'!$B$2:$B$610,0)), "")</f>
        <v>Western Massachusetts</v>
      </c>
      <c r="H6" s="14" t="str">
        <f>IFERROR(INDEX('Static Data Tab'!$F$2:$F$610,MATCH(C6,'Static Data Tab'!$B$2:$B$610,0)), "")</f>
        <v>x</v>
      </c>
      <c r="I6" s="14">
        <f>IFERROR(INDEX('Static Data Tab'!$G$2:$G$610,MATCH(C6,'Static Data Tab'!$B$2:$B$610,0)), "")</f>
        <v>0</v>
      </c>
      <c r="J6" s="14" t="str">
        <f>IFERROR(INDEX('Prior Year Data Pull'!$A$2:$CB$593,MATCH(C6,'Prior Year Data Pull'!$A$2:$A$593,0),MATCH("Quarter Range",'Prior Year Data Pull'!$A$1:$CB$1,0)),"")</f>
        <v xml:space="preserve">10/01/2024-09/30/2025
</v>
      </c>
      <c r="K6" s="37">
        <f t="shared" si="0"/>
        <v>0.10134541069256195</v>
      </c>
      <c r="L6" s="37">
        <f t="shared" si="1"/>
        <v>3.8474238550652795E-2</v>
      </c>
      <c r="M6" s="37">
        <f t="shared" si="2"/>
        <v>0.13981964924321474</v>
      </c>
      <c r="N6" s="38">
        <f t="shared" si="3"/>
        <v>13960695</v>
      </c>
      <c r="O6" s="39">
        <f t="shared" si="4"/>
        <v>3.7024886524268537</v>
      </c>
      <c r="P6" s="38">
        <f>IFERROR(INDEX('Prior Year Data Pull'!$A$2:$CB$593,MATCH('Prior Year Data Table'!$C6,'Prior Year Data Pull'!$A$2:$A$593,0),MATCH("Total Net Assets or Equity",'Prior Year Data Pull'!$A$1:$CB$1,0)),"")</f>
        <v>113316464</v>
      </c>
      <c r="Q6" s="38">
        <f>IFERROR(INDEX('Prior Year Data Pull'!$A$2:$CB$593,MATCH('Prior Year Data Table'!$C6,'Prior Year Data Pull'!$A$2:$A$593,0),MATCH("Total Operating Revenue",'Prior Year Data Pull'!$A$1:$CB$1,0)),"")</f>
        <v>96006305</v>
      </c>
      <c r="R6" s="38">
        <f>IFERROR(INDEX('Prior Year Data Pull'!$A$2:$CB$593,MATCH('Prior Year Data Table'!$C6,'Prior Year Data Pull'!$A$2:$A$593,0),MATCH("Total Unrestricted Revenue Gains and Other Support",'Prior Year Data Pull'!$A$1:$CB$1,0)),"")</f>
        <v>99847876</v>
      </c>
      <c r="S6" s="38">
        <f>IFERROR(INDEX('Prior Year TS Data Pull'!$K$2:$K$607,MATCH(C6,'Prior Year TS Data Pull'!$A$2:$A$607,0))+INDEX('Prior Year TS Data Pull'!$O$2:$O$119,MATCH(C6,'Prior Year TS Data Pull'!$A$2:$A$607,0))+INDEX('Prior Year TS Data Pull'!$S$2:$S$119,MATCH(C6,'Prior Year TS Data Pull'!$A$2:$A$607,0)),"")</f>
        <v>1121824.55</v>
      </c>
      <c r="T6" s="38">
        <f>IF(INDEX('Prior Year TS Data Pull'!$A$1:$O$607,MATCH(C6,'Prior Year TS Data Pull'!$A$1:$A$607,0),MATCH("Temporary RN Staffing:
Line Reported on in Standardized Financials",'Prior Year TS Data Pull'!$A$1:$O$1,0))="66.1: Salary and Benefit Expense",'Prior Year Data Table'!$AV6-'Prior Year Data Table'!$S6,0)</f>
        <v>0</v>
      </c>
      <c r="U6" s="38">
        <f>IFERROR(INDEX('Prior Year Data Pull'!$A$2:$CB$593,MATCH(C6,'Prior Year Data Pull'!$A$2:$A$593,0),MATCH("Total Expenses Including Nonrecurring Gains Losses",'Prior Year Data Pull'!$A$1:$CB$1,0)),"")</f>
        <v>85887181</v>
      </c>
      <c r="V6" s="41">
        <f t="shared" si="5"/>
        <v>13.301407592741732</v>
      </c>
      <c r="W6" s="41">
        <f t="shared" si="6"/>
        <v>33.322929551979122</v>
      </c>
      <c r="X6" s="41">
        <f t="shared" si="7"/>
        <v>40.104234499099391</v>
      </c>
      <c r="Y6" s="37">
        <f t="shared" si="8"/>
        <v>5.6262440799375266</v>
      </c>
      <c r="Z6" s="41">
        <f t="shared" si="9"/>
        <v>278.12521531495554</v>
      </c>
      <c r="AA6" s="39">
        <f t="shared" si="10"/>
        <v>9.6679206869080279</v>
      </c>
      <c r="AB6" s="37">
        <f t="shared" si="11"/>
        <v>0.82133661963278148</v>
      </c>
      <c r="AC6" s="37">
        <f t="shared" si="12"/>
        <v>1.5467467771469755E-2</v>
      </c>
      <c r="AD6" s="38">
        <f>IFERROR(INDEX('Prior Year Data Pull'!$A$2:$CB$593,MATCH(C6,'Prior Year Data Pull'!$A$2:$A$593,0),MATCH("Net Patient Service Revenue",'Prior Year Data Pull'!$A$1:$CB$1,0)),"")</f>
        <v>81875359</v>
      </c>
      <c r="AE6" s="38">
        <f>IFERROR(INDEX('Prior Year Data Pull'!$A$2:$CB$593,MATCH(C6,'Prior Year Data Pull'!$A$2:$A$593,0),MATCH("Total Current Assets",'Prior Year Data Pull'!$A$1:$CB$1,0)),"")</f>
        <v>72972571</v>
      </c>
      <c r="AF6" s="38">
        <f>IFERROR(INDEX('Prior Year Data Pull'!$A$2:$CB$593,MATCH(C6,'Prior Year Data Pull'!$A$2:$A$593,0),MATCH("Total Current Liabilities",'Prior Year Data Pull'!$A$1:$CB$1,0)),"")</f>
        <v>19709060</v>
      </c>
      <c r="AG6" s="38">
        <f>IFERROR(INDEX('Prior Year Data Pull'!$A$2:$CB$593,MATCH(C6,'Prior Year Data Pull'!$A$2:$A$593,0),MATCH("Total Non Operating Revenue",'Prior Year Data Pull'!$A$1:$CB$1,0)),"")</f>
        <v>3841571</v>
      </c>
      <c r="AH6" s="38">
        <f>IFERROR(INDEX('Prior Year Data Pull'!$A$2:$CB$593,MATCH(C6,'Prior Year Data Pull'!$A$2:$A$593,0),MATCH("Less Accumulated Depreciation",'Prior Year Data Pull'!$A$1:$CB$1,0)),"")</f>
        <v>28474004</v>
      </c>
      <c r="AI6" s="38">
        <f>IFERROR(INDEX('Prior Year Data Pull'!$A$2:$CB$593,MATCH(C6,'Prior Year Data Pull'!$A$2:$A$593,0),MATCH("Depreciation and Amortization Expense",'Prior Year Data Pull'!$A$1:$CB$1,0)),"")</f>
        <v>2140676</v>
      </c>
      <c r="AJ6" s="38">
        <f>IFERROR(INDEX('Prior Year Data Pull'!$A$2:$CB$593,MATCH(C6,'Prior Year Data Pull'!$A$2:$A$593,0),MATCH("Net Patient Accounts Receivable",'Prior Year Data Pull'!$A$1:$CB$1,0)),"")</f>
        <v>7474868</v>
      </c>
      <c r="AK6" s="14">
        <v>365</v>
      </c>
      <c r="AL6" s="38">
        <f>IFERROR(INDEX('Prior Year Data Pull'!$A$2:$CB$593,MATCH(C6,'Prior Year Data Pull'!$A$2:$A$593,0),MATCH("Estimated Third Party Settlements",'Prior Year Data Pull'!$A$1:$CB$1,0)),"")</f>
        <v>10507445</v>
      </c>
      <c r="AM6" s="38">
        <f>IFERROR(INDEX('Prior Year Data Pull'!$A$2:$CB$593,MATCH(C6,'Prior Year Data Pull'!$A$2:$A$593,0),MATCH("Current Liabilities due to Affiliates",'Prior Year Data Pull'!$A$1:$CB$1,0)),"")</f>
        <v>1216491</v>
      </c>
      <c r="AN6" s="38">
        <f>IFERROR(INDEX('Prior Year Data Pull'!$A$2:$CB$593,MATCH(C6,'Prior Year Data Pull'!$A$2:$A$593,0),MATCH("Short Term Investments",'Prior Year Data Pull'!$A$1:$CB$1,0)),"")</f>
        <v>0</v>
      </c>
      <c r="AO6" s="38">
        <f>IFERROR(INDEX('Prior Year Data Pull'!$A$2:$CB$593,MATCH(C6,'Prior Year Data Pull'!$A$2:$A$593,0),MATCH("Cash and Cash Equivalents",'Prior Year Data Pull'!$A$1:$CB$1,0)),"")</f>
        <v>63813739</v>
      </c>
      <c r="AP6" s="38">
        <f>IFERROR(INDEX('Prior Year Data Pull'!$A$2:$CB$593,MATCH(C6,'Prior Year Data Pull'!$A$2:$A$593,0),MATCH("Interest Expense",'Prior Year Data Pull'!$A$1:$CB$1,0)),"")</f>
        <v>18756</v>
      </c>
      <c r="AQ6" s="38">
        <f>IFERROR(INDEX('Prior Year Data Pull'!$A$2:$CB$593,MATCH(C6,'Prior Year Data Pull'!$A$2:$A$593,0),MATCH("Long Term Debt Net of Current Portion",'Prior Year Data Pull'!$A$1:$CB$1,0)),"")</f>
        <v>1653200</v>
      </c>
      <c r="AR6" s="38">
        <f>IFERROR(INDEX('Prior Year Data Pull'!$A$2:$CB$593,MATCH(C6,'Prior Year Data Pull'!$A$2:$A$593,0),MATCH("Total Assets",'Prior Year Data Pull'!$A$1:$CB$1,0)),"")</f>
        <v>137965922</v>
      </c>
      <c r="AS6" s="38">
        <f>IFERROR(INDEX('Prior Year Data Pull'!$A$2:$CB$593,MATCH(C6,'Prior Year Data Pull'!$A$2:$A$593,0),MATCH("Long Term Debt Net of Current Portion",'Prior Year Data Pull'!$A$1:$CB$1,0)),"")</f>
        <v>1653200</v>
      </c>
      <c r="AT6" s="38">
        <f>IFERROR(INDEX('Prior Year Data Pull'!$A$2:$CB$593,MATCH(C6,'Prior Year Data Pull'!$A$2:$A$593,0),MATCH("Net Unrestricted Assets",'Prior Year Data Pull'!$A$1:$CB$1,0)),"")</f>
        <v>105229195</v>
      </c>
      <c r="AU6" s="38">
        <f>IFERROR(INDEX('Prior Year Data Pull'!$A$2:$CB$593,MATCH(C6,'Prior Year Data Pull'!$A$2:$A$593,0),MATCH("Unrealized Gains/Losses",'Prior Year Data Pull'!$A$1:$CB$1,0)),"")</f>
        <v>-44211</v>
      </c>
      <c r="AV6" s="38">
        <f>IFERROR(INDEX('Prior Year Data Pull'!$A$2:$CB$593,MATCH(C6,'Prior Year Data Pull'!$A$2:$A$593,0),MATCH("Salary and Benefit Expense",'Prior Year Data Pull'!$A$1:$CB$1,0)),"")</f>
        <v>48966873</v>
      </c>
    </row>
    <row r="7" spans="1:83" ht="34.200000000000003" x14ac:dyDescent="0.3">
      <c r="A7" s="46" t="str">
        <f>IFERROR(INDEX('Static Data Tab'!$N$2:$N$610,MATCH(D7,'Static Data Tab'!$D$2:$D$610,0)), "")</f>
        <v>Mass General Brigham</v>
      </c>
      <c r="B7" s="46" t="s">
        <v>143</v>
      </c>
      <c r="C7" s="46">
        <v>22</v>
      </c>
      <c r="D7" s="46">
        <v>3791</v>
      </c>
      <c r="E7" s="46" t="str">
        <f>IFERROR(INDEX('Prior Year Data Pull'!$A$1:$CB$593,MATCH(C7,'Prior Year Data Pull'!$A$1:$A$593,0),MATCH("Organization Type",'Prior Year Data Pull'!$A$1:$CB$1,0)),"")</f>
        <v>AcuteHospital</v>
      </c>
      <c r="F7" s="46" t="str">
        <f>IFERROR(INDEX('Static Data Tab'!$E$2:$E$610,MATCH(C7,'Static Data Tab'!$B$2:$B$610,0)), "-")</f>
        <v>Academic Medical Center</v>
      </c>
      <c r="G7" s="46" t="str">
        <f>IFERROR(INDEX('Static Data Tab'!$J$2:$J$610,MATCH(C7,'Static Data Tab'!$B$2:$B$610,0)), "")</f>
        <v>Metro Boston</v>
      </c>
      <c r="H7" s="46">
        <f>IFERROR(INDEX('Static Data Tab'!$F$2:$F$610,MATCH(C7,'Static Data Tab'!$B$2:$B$610,0)), "")</f>
        <v>0</v>
      </c>
      <c r="I7" s="46" t="str">
        <f>IFERROR(INDEX('Static Data Tab'!$G$2:$G$610,MATCH(C7,'Static Data Tab'!$B$2:$B$610,0)), "")</f>
        <v>x</v>
      </c>
      <c r="J7" s="46" t="str">
        <f>IFERROR(INDEX('Prior Year Data Pull'!$A$2:$CB$593,MATCH(C7,'Prior Year Data Pull'!$A$2:$A$593,0),MATCH("Quarter Range",'Prior Year Data Pull'!$A$1:$CB$1,0)),"")</f>
        <v xml:space="preserve">10/01/2024-09/30/2025
</v>
      </c>
      <c r="K7" s="45">
        <f t="shared" si="0"/>
        <v>5.1795114932154496E-2</v>
      </c>
      <c r="L7" s="45">
        <f t="shared" si="1"/>
        <v>5.2969738046479489E-2</v>
      </c>
      <c r="M7" s="45">
        <f t="shared" si="2"/>
        <v>0.10476485297863398</v>
      </c>
      <c r="N7" s="47">
        <f t="shared" si="3"/>
        <v>525241000</v>
      </c>
      <c r="O7" s="265">
        <f t="shared" si="4"/>
        <v>1.2165031626006353</v>
      </c>
      <c r="P7" s="47">
        <f>IFERROR(INDEX('Prior Year Data Pull'!$A$2:$CB$593,MATCH('Prior Year Data Table'!$C7,'Prior Year Data Pull'!$A$2:$A$593,0),MATCH("Total Net Assets or Equity",'Prior Year Data Pull'!$A$1:$CB$1,0)),"")</f>
        <v>2863782000</v>
      </c>
      <c r="Q7" s="47">
        <f>IFERROR(INDEX('Prior Year Data Pull'!$A$2:$CB$593,MATCH('Prior Year Data Table'!$C7,'Prior Year Data Pull'!$A$2:$A$593,0),MATCH("Total Operating Revenue",'Prior Year Data Pull'!$A$1:$CB$1,0)),"")</f>
        <v>4747958000</v>
      </c>
      <c r="R7" s="47">
        <f>IFERROR(INDEX('Prior Year Data Pull'!$A$2:$CB$593,MATCH('Prior Year Data Table'!$C7,'Prior Year Data Pull'!$A$2:$A$593,0),MATCH("Total Unrestricted Revenue Gains and Other Support",'Prior Year Data Pull'!$A$1:$CB$1,0)),"")</f>
        <v>5013523000</v>
      </c>
      <c r="S7" s="47">
        <f>IFERROR(INDEX('Prior Year TS Data Pull'!$K$2:$K$607,MATCH(C7,'Prior Year TS Data Pull'!$A$2:$A$607,0))+INDEX('Prior Year TS Data Pull'!$O$2:$O$119,MATCH(C7,'Prior Year TS Data Pull'!$A$2:$A$607,0))+INDEX('Prior Year TS Data Pull'!$S$2:$S$119,MATCH(C7,'Prior Year TS Data Pull'!$A$2:$A$607,0)),"")</f>
        <v>18292735</v>
      </c>
      <c r="T7" s="47">
        <f>IF(INDEX('Prior Year TS Data Pull'!$A$1:$O$607,MATCH(C7,'Prior Year TS Data Pull'!$A$1:$A$607,0),MATCH("Temporary RN Staffing:
Line Reported on in Standardized Financials",'Prior Year TS Data Pull'!$A$1:$O$1,0))="66.1: Salary and Benefit Expense",'Prior Year Data Table'!$AV7-'Prior Year Data Table'!$S7,0)</f>
        <v>0</v>
      </c>
      <c r="U7" s="47">
        <f>IFERROR(INDEX('Prior Year Data Pull'!$A$2:$CB$593,MATCH(C7,'Prior Year Data Pull'!$A$2:$A$593,0),MATCH("Total Expenses Including Nonrecurring Gains Losses",'Prior Year Data Pull'!$A$1:$CB$1,0)),"")</f>
        <v>4488282000</v>
      </c>
      <c r="V7" s="266">
        <f t="shared" si="5"/>
        <v>12.723737196757757</v>
      </c>
      <c r="W7" s="266">
        <f t="shared" si="6"/>
        <v>54.499606311687558</v>
      </c>
      <c r="X7" s="266">
        <f t="shared" si="7"/>
        <v>93.300108594746888</v>
      </c>
      <c r="Y7" s="45">
        <f t="shared" si="8"/>
        <v>0.3600751408891672</v>
      </c>
      <c r="Z7" s="266">
        <f t="shared" si="9"/>
        <v>1.4451248839589217</v>
      </c>
      <c r="AA7" s="265">
        <f t="shared" si="10"/>
        <v>0.49613697732132545</v>
      </c>
      <c r="AB7" s="45">
        <f t="shared" si="11"/>
        <v>0.53660731183118071</v>
      </c>
      <c r="AC7" s="45">
        <f t="shared" si="12"/>
        <v>0.33879082223049467</v>
      </c>
      <c r="AD7" s="47">
        <f>IFERROR(INDEX('Prior Year Data Pull'!$A$2:$CB$593,MATCH(C7,'Prior Year Data Pull'!$A$2:$A$593,0),MATCH("Net Patient Service Revenue",'Prior Year Data Pull'!$A$1:$CB$1,0)),"")</f>
        <v>3345286000</v>
      </c>
      <c r="AE7" s="47">
        <f>IFERROR(INDEX('Prior Year Data Pull'!$A$2:$CB$593,MATCH(C7,'Prior Year Data Pull'!$A$2:$A$593,0),MATCH("Total Current Assets",'Prior Year Data Pull'!$A$1:$CB$1,0)),"")</f>
        <v>1367633000</v>
      </c>
      <c r="AF7" s="47">
        <f>IFERROR(INDEX('Prior Year Data Pull'!$A$2:$CB$593,MATCH(C7,'Prior Year Data Pull'!$A$2:$A$593,0),MATCH("Total Current Liabilities",'Prior Year Data Pull'!$A$1:$CB$1,0)),"")</f>
        <v>1124233000</v>
      </c>
      <c r="AG7" s="47">
        <f>IFERROR(INDEX('Prior Year Data Pull'!$A$2:$CB$593,MATCH(C7,'Prior Year Data Pull'!$A$2:$A$593,0),MATCH("Total Non Operating Revenue",'Prior Year Data Pull'!$A$1:$CB$1,0)),"")</f>
        <v>265565000</v>
      </c>
      <c r="AH7" s="47">
        <f>IFERROR(INDEX('Prior Year Data Pull'!$A$2:$CB$593,MATCH(C7,'Prior Year Data Pull'!$A$2:$A$593,0),MATCH("Less Accumulated Depreciation",'Prior Year Data Pull'!$A$1:$CB$1,0)),"")</f>
        <v>2214910000</v>
      </c>
      <c r="AI7" s="47">
        <f>IFERROR(INDEX('Prior Year Data Pull'!$A$2:$CB$593,MATCH(C7,'Prior Year Data Pull'!$A$2:$A$593,0),MATCH("Depreciation and Amortization Expense",'Prior Year Data Pull'!$A$1:$CB$1,0)),"")</f>
        <v>174077000</v>
      </c>
      <c r="AJ7" s="47">
        <f>IFERROR(INDEX('Prior Year Data Pull'!$A$2:$CB$593,MATCH(C7,'Prior Year Data Pull'!$A$2:$A$593,0),MATCH("Net Patient Accounts Receivable",'Prior Year Data Pull'!$A$1:$CB$1,0)),"")</f>
        <v>499498000</v>
      </c>
      <c r="AK7" s="46">
        <v>365</v>
      </c>
      <c r="AL7" s="47">
        <f>IFERROR(INDEX('Prior Year Data Pull'!$A$2:$CB$593,MATCH(C7,'Prior Year Data Pull'!$A$2:$A$593,0),MATCH("Estimated Third Party Settlements",'Prior Year Data Pull'!$A$1:$CB$1,0)),"")</f>
        <v>21450000</v>
      </c>
      <c r="AM7" s="47">
        <f>IFERROR(INDEX('Prior Year Data Pull'!$A$2:$CB$593,MATCH(C7,'Prior Year Data Pull'!$A$2:$A$593,0),MATCH("Current Liabilities due to Affiliates",'Prior Year Data Pull'!$A$1:$CB$1,0)),"")</f>
        <v>383053000</v>
      </c>
      <c r="AN7" s="47">
        <f>IFERROR(INDEX('Prior Year Data Pull'!$A$2:$CB$593,MATCH(C7,'Prior Year Data Pull'!$A$2:$A$593,0),MATCH("Short Term Investments",'Prior Year Data Pull'!$A$1:$CB$1,0)),"")</f>
        <v>16094000</v>
      </c>
      <c r="AO7" s="47">
        <f>IFERROR(INDEX('Prior Year Data Pull'!$A$2:$CB$593,MATCH(C7,'Prior Year Data Pull'!$A$2:$A$593,0),MATCH("Cash and Cash Equivalents",'Prior Year Data Pull'!$A$1:$CB$1,0)),"")</f>
        <v>987000</v>
      </c>
      <c r="AP7" s="47">
        <f>IFERROR(INDEX('Prior Year Data Pull'!$A$2:$CB$593,MATCH(C7,'Prior Year Data Pull'!$A$2:$A$593,0),MATCH("Interest Expense",'Prior Year Data Pull'!$A$1:$CB$1,0)),"")</f>
        <v>43289000</v>
      </c>
      <c r="AQ7" s="47">
        <f>IFERROR(INDEX('Prior Year Data Pull'!$A$2:$CB$593,MATCH(C7,'Prior Year Data Pull'!$A$2:$A$593,0),MATCH("Long Term Debt Net of Current Portion",'Prior Year Data Pull'!$A$1:$CB$1,0)),"")</f>
        <v>1174022000</v>
      </c>
      <c r="AR7" s="47">
        <f>IFERROR(INDEX('Prior Year Data Pull'!$A$2:$CB$593,MATCH(C7,'Prior Year Data Pull'!$A$2:$A$593,0),MATCH("Total Assets",'Prior Year Data Pull'!$A$1:$CB$1,0)),"")</f>
        <v>5336830000</v>
      </c>
      <c r="AS7" s="47">
        <f>IFERROR(INDEX('Prior Year Data Pull'!$A$2:$CB$593,MATCH(C7,'Prior Year Data Pull'!$A$2:$A$593,0),MATCH("Long Term Debt Net of Current Portion",'Prior Year Data Pull'!$A$1:$CB$1,0)),"")</f>
        <v>1174022000</v>
      </c>
      <c r="AT7" s="47">
        <f>IFERROR(INDEX('Prior Year Data Pull'!$A$2:$CB$593,MATCH(C7,'Prior Year Data Pull'!$A$2:$A$593,0),MATCH("Net Unrestricted Assets",'Prior Year Data Pull'!$A$1:$CB$1,0)),"")</f>
        <v>2291308000</v>
      </c>
      <c r="AU7" s="47">
        <f>IFERROR(INDEX('Prior Year Data Pull'!$A$2:$CB$593,MATCH(C7,'Prior Year Data Pull'!$A$2:$A$593,0),MATCH("Unrealized Gains/Losses",'Prior Year Data Pull'!$A$1:$CB$1,0)),"")</f>
        <v>138654000</v>
      </c>
      <c r="AV7" s="47">
        <f>IFERROR(INDEX('Prior Year Data Pull'!$A$2:$CB$593,MATCH(C7,'Prior Year Data Pull'!$A$2:$A$593,0),MATCH("Salary and Benefit Expense",'Prior Year Data Pull'!$A$1:$CB$1,0)),"")</f>
        <v>1601308000</v>
      </c>
    </row>
    <row r="8" spans="1:83" ht="34.200000000000003" x14ac:dyDescent="0.3">
      <c r="A8" s="14" t="str">
        <f>IFERROR(INDEX('Static Data Tab'!$N$2:$N$610,MATCH(D8,'Static Data Tab'!$D$2:$D$610,0)), "")</f>
        <v>Signature Healthcare Corporation</v>
      </c>
      <c r="B8" s="14" t="s">
        <v>164</v>
      </c>
      <c r="C8" s="14">
        <v>25</v>
      </c>
      <c r="D8" s="14">
        <v>9991</v>
      </c>
      <c r="E8" s="14" t="str">
        <f>IFERROR(INDEX('Prior Year Data Pull'!$A$1:$CB$593,MATCH(C8,'Prior Year Data Pull'!$A$1:$A$593,0),MATCH("Organization Type",'Prior Year Data Pull'!$A$1:$CB$1,0)),"")</f>
        <v>AcuteHospital</v>
      </c>
      <c r="F8" s="14" t="str">
        <f>IFERROR(INDEX('Static Data Tab'!$E$2:$E$610,MATCH(C8,'Static Data Tab'!$B$2:$B$610,0)), "-")</f>
        <v>Community-High Public Payer Hospital</v>
      </c>
      <c r="G8" s="14" t="str">
        <f>IFERROR(INDEX('Static Data Tab'!$J$2:$J$610,MATCH(C8,'Static Data Tab'!$B$2:$B$610,0)), "")</f>
        <v>Metro South</v>
      </c>
      <c r="H8" s="14" t="str">
        <f>IFERROR(INDEX('Static Data Tab'!$F$2:$F$610,MATCH(C8,'Static Data Tab'!$B$2:$B$610,0)), "")</f>
        <v>x</v>
      </c>
      <c r="I8" s="14">
        <f>IFERROR(INDEX('Static Data Tab'!$G$2:$G$610,MATCH(C8,'Static Data Tab'!$B$2:$B$610,0)), "")</f>
        <v>0</v>
      </c>
      <c r="J8" s="14" t="str">
        <f>IFERROR(INDEX('Prior Year Data Pull'!$A$2:$CB$593,MATCH(C8,'Prior Year Data Pull'!$A$2:$A$593,0),MATCH("Quarter Range",'Prior Year Data Pull'!$A$1:$CB$1,0)),"")</f>
        <v xml:space="preserve">10/01/2024-09/30/2025
</v>
      </c>
      <c r="K8" s="37">
        <f t="shared" si="0"/>
        <v>-8.8366692049072618E-2</v>
      </c>
      <c r="L8" s="37">
        <f t="shared" si="1"/>
        <v>9.0309008264232354E-2</v>
      </c>
      <c r="M8" s="37">
        <f t="shared" si="2"/>
        <v>1.9423162151597317E-3</v>
      </c>
      <c r="N8" s="38">
        <f t="shared" si="3"/>
        <v>982802</v>
      </c>
      <c r="O8" s="39">
        <f t="shared" si="4"/>
        <v>0.9981634132793118</v>
      </c>
      <c r="P8" s="38">
        <f>IFERROR(INDEX('Prior Year Data Pull'!$A$2:$CB$593,MATCH('Prior Year Data Table'!$C8,'Prior Year Data Pull'!$A$2:$A$593,0),MATCH("Total Net Assets or Equity",'Prior Year Data Pull'!$A$1:$CB$1,0)),"")</f>
        <v>239343585</v>
      </c>
      <c r="Q8" s="38">
        <f>IFERROR(INDEX('Prior Year Data Pull'!$A$2:$CB$593,MATCH('Prior Year Data Table'!$C8,'Prior Year Data Pull'!$A$2:$A$593,0),MATCH("Total Operating Revenue",'Prior Year Data Pull'!$A$1:$CB$1,0)),"")</f>
        <v>460298956</v>
      </c>
      <c r="R8" s="38">
        <f>IFERROR(INDEX('Prior Year Data Pull'!$A$2:$CB$593,MATCH('Prior Year Data Table'!$C8,'Prior Year Data Pull'!$A$2:$A$593,0),MATCH("Total Unrestricted Revenue Gains and Other Support",'Prior Year Data Pull'!$A$1:$CB$1,0)),"")</f>
        <v>505994849</v>
      </c>
      <c r="S8" s="38">
        <f>IFERROR(INDEX('Prior Year TS Data Pull'!$K$2:$K$607,MATCH(C8,'Prior Year TS Data Pull'!$A$2:$A$607,0))+INDEX('Prior Year TS Data Pull'!$O$2:$O$119,MATCH(C8,'Prior Year TS Data Pull'!$A$2:$A$607,0))+INDEX('Prior Year TS Data Pull'!$S$2:$S$119,MATCH(C8,'Prior Year TS Data Pull'!$A$2:$A$607,0)),"")</f>
        <v>23116898.776476894</v>
      </c>
      <c r="T8" s="38">
        <f>IF(INDEX('Prior Year TS Data Pull'!$A$1:$O$607,MATCH(C8,'Prior Year TS Data Pull'!$A$1:$A$607,0),MATCH("Temporary RN Staffing:
Line Reported on in Standardized Financials",'Prior Year TS Data Pull'!$A$1:$O$1,0))="66.1: Salary and Benefit Expense",'Prior Year Data Table'!$AV8-'Prior Year Data Table'!$S8,0)</f>
        <v>0</v>
      </c>
      <c r="U8" s="38">
        <f>IFERROR(INDEX('Prior Year Data Pull'!$A$2:$CB$593,MATCH(C8,'Prior Year Data Pull'!$A$2:$A$593,0),MATCH("Total Expenses Including Nonrecurring Gains Losses",'Prior Year Data Pull'!$A$1:$CB$1,0)),"")</f>
        <v>505012047</v>
      </c>
      <c r="V8" s="41">
        <f t="shared" si="5"/>
        <v>10.307526473421515</v>
      </c>
      <c r="W8" s="41">
        <f t="shared" si="6"/>
        <v>36.937287140667685</v>
      </c>
      <c r="X8" s="41">
        <f t="shared" si="7"/>
        <v>74.706501333321711</v>
      </c>
      <c r="Y8" s="37">
        <f t="shared" si="8"/>
        <v>0.20310233962188584</v>
      </c>
      <c r="Z8" s="41">
        <f t="shared" si="9"/>
        <v>34.891509086750929</v>
      </c>
      <c r="AA8" s="39">
        <f t="shared" si="10"/>
        <v>0.23231056900087868</v>
      </c>
      <c r="AB8" s="37">
        <f t="shared" si="11"/>
        <v>0.50418640340230858</v>
      </c>
      <c r="AC8" s="37">
        <f t="shared" si="12"/>
        <v>0.28790225931600372</v>
      </c>
      <c r="AD8" s="38">
        <f>IFERROR(INDEX('Prior Year Data Pull'!$A$2:$CB$593,MATCH(C8,'Prior Year Data Pull'!$A$2:$A$593,0),MATCH("Net Patient Service Revenue",'Prior Year Data Pull'!$A$1:$CB$1,0)),"")</f>
        <v>314506119</v>
      </c>
      <c r="AE8" s="38">
        <f>IFERROR(INDEX('Prior Year Data Pull'!$A$2:$CB$593,MATCH(C8,'Prior Year Data Pull'!$A$2:$A$593,0),MATCH("Total Current Assets",'Prior Year Data Pull'!$A$1:$CB$1,0)),"")</f>
        <v>129783378</v>
      </c>
      <c r="AF8" s="38">
        <f>IFERROR(INDEX('Prior Year Data Pull'!$A$2:$CB$593,MATCH(C8,'Prior Year Data Pull'!$A$2:$A$593,0),MATCH("Total Current Liabilities",'Prior Year Data Pull'!$A$1:$CB$1,0)),"")</f>
        <v>130022175</v>
      </c>
      <c r="AG8" s="38">
        <f>IFERROR(INDEX('Prior Year Data Pull'!$A$2:$CB$593,MATCH(C8,'Prior Year Data Pull'!$A$2:$A$593,0),MATCH("Total Non Operating Revenue",'Prior Year Data Pull'!$A$1:$CB$1,0)),"")</f>
        <v>45695893</v>
      </c>
      <c r="AH8" s="38">
        <f>IFERROR(INDEX('Prior Year Data Pull'!$A$2:$CB$593,MATCH(C8,'Prior Year Data Pull'!$A$2:$A$593,0),MATCH("Less Accumulated Depreciation",'Prior Year Data Pull'!$A$1:$CB$1,0)),"")</f>
        <v>183067329</v>
      </c>
      <c r="AI8" s="38">
        <f>IFERROR(INDEX('Prior Year Data Pull'!$A$2:$CB$593,MATCH(C8,'Prior Year Data Pull'!$A$2:$A$593,0),MATCH("Depreciation and Amortization Expense",'Prior Year Data Pull'!$A$1:$CB$1,0)),"")</f>
        <v>17760549</v>
      </c>
      <c r="AJ8" s="38">
        <f>IFERROR(INDEX('Prior Year Data Pull'!$A$2:$CB$593,MATCH(C8,'Prior Year Data Pull'!$A$2:$A$593,0),MATCH("Net Patient Accounts Receivable",'Prior Year Data Pull'!$A$1:$CB$1,0)),"")</f>
        <v>31827405</v>
      </c>
      <c r="AK8" s="14">
        <v>365</v>
      </c>
      <c r="AL8" s="38">
        <f>IFERROR(INDEX('Prior Year Data Pull'!$A$2:$CB$593,MATCH(C8,'Prior Year Data Pull'!$A$2:$A$593,0),MATCH("Estimated Third Party Settlements",'Prior Year Data Pull'!$A$1:$CB$1,0)),"")</f>
        <v>30293806</v>
      </c>
      <c r="AM8" s="38">
        <f>IFERROR(INDEX('Prior Year Data Pull'!$A$2:$CB$593,MATCH(C8,'Prior Year Data Pull'!$A$2:$A$593,0),MATCH("Current Liabilities due to Affiliates",'Prior Year Data Pull'!$A$1:$CB$1,0)),"")</f>
        <v>0</v>
      </c>
      <c r="AN8" s="38">
        <f>IFERROR(INDEX('Prior Year Data Pull'!$A$2:$CB$593,MATCH(C8,'Prior Year Data Pull'!$A$2:$A$593,0),MATCH("Short Term Investments",'Prior Year Data Pull'!$A$1:$CB$1,0)),"")</f>
        <v>0</v>
      </c>
      <c r="AO8" s="38">
        <f>IFERROR(INDEX('Prior Year Data Pull'!$A$2:$CB$593,MATCH(C8,'Prior Year Data Pull'!$A$2:$A$593,0),MATCH("Cash and Cash Equivalents",'Prior Year Data Pull'!$A$1:$CB$1,0)),"")</f>
        <v>46577918</v>
      </c>
      <c r="AP8" s="38">
        <f>IFERROR(INDEX('Prior Year Data Pull'!$A$2:$CB$593,MATCH(C8,'Prior Year Data Pull'!$A$2:$A$593,0),MATCH("Interest Expense",'Prior Year Data Pull'!$A$1:$CB$1,0)),"")</f>
        <v>3511171</v>
      </c>
      <c r="AQ8" s="38">
        <f>IFERROR(INDEX('Prior Year Data Pull'!$A$2:$CB$593,MATCH(C8,'Prior Year Data Pull'!$A$2:$A$593,0),MATCH("Long Term Debt Net of Current Portion",'Prior Year Data Pull'!$A$1:$CB$1,0)),"")</f>
        <v>92285254</v>
      </c>
      <c r="AR8" s="38">
        <f>IFERROR(INDEX('Prior Year Data Pull'!$A$2:$CB$593,MATCH(C8,'Prior Year Data Pull'!$A$2:$A$593,0),MATCH("Total Assets",'Prior Year Data Pull'!$A$1:$CB$1,0)),"")</f>
        <v>474712494</v>
      </c>
      <c r="AS8" s="38">
        <f>IFERROR(INDEX('Prior Year Data Pull'!$A$2:$CB$593,MATCH(C8,'Prior Year Data Pull'!$A$2:$A$593,0),MATCH("Long Term Debt Net of Current Portion",'Prior Year Data Pull'!$A$1:$CB$1,0)),"")</f>
        <v>92285254</v>
      </c>
      <c r="AT8" s="38">
        <f>IFERROR(INDEX('Prior Year Data Pull'!$A$2:$CB$593,MATCH(C8,'Prior Year Data Pull'!$A$2:$A$593,0),MATCH("Net Unrestricted Assets",'Prior Year Data Pull'!$A$1:$CB$1,0)),"")</f>
        <v>228258441</v>
      </c>
      <c r="AU8" s="38">
        <f>IFERROR(INDEX('Prior Year Data Pull'!$A$2:$CB$593,MATCH(C8,'Prior Year Data Pull'!$A$2:$A$593,0),MATCH("Unrealized Gains/Losses",'Prior Year Data Pull'!$A$1:$CB$1,0)),"")</f>
        <v>0</v>
      </c>
      <c r="AV8" s="38">
        <f>IFERROR(INDEX('Prior Year Data Pull'!$A$2:$CB$593,MATCH(C8,'Prior Year Data Pull'!$A$2:$A$593,0),MATCH("Salary and Benefit Expense",'Prior Year Data Pull'!$A$1:$CB$1,0)),"")</f>
        <v>260961969</v>
      </c>
    </row>
    <row r="9" spans="1:83" ht="34.200000000000003" x14ac:dyDescent="0.3">
      <c r="A9" s="46" t="str">
        <f>IFERROR(INDEX('Static Data Tab'!$N$2:$N$610,MATCH(D9,'Static Data Tab'!$D$2:$D$610,0)), "")</f>
        <v>Cape Cod Healthcare</v>
      </c>
      <c r="B9" s="46" t="s">
        <v>124</v>
      </c>
      <c r="C9" s="46">
        <v>39</v>
      </c>
      <c r="D9" s="46">
        <v>3109</v>
      </c>
      <c r="E9" s="46" t="str">
        <f>IFERROR(INDEX('Prior Year Data Pull'!$A$1:$CB$593,MATCH(C9,'Prior Year Data Pull'!$A$1:$A$593,0),MATCH("Organization Type",'Prior Year Data Pull'!$A$1:$CB$1,0)),"")</f>
        <v>AcuteHospital</v>
      </c>
      <c r="F9" s="46" t="str">
        <f>IFERROR(INDEX('Static Data Tab'!$E$2:$E$610,MATCH(C9,'Static Data Tab'!$B$2:$B$610,0)), "-")</f>
        <v>Community-High Public Payer Hospital</v>
      </c>
      <c r="G9" s="46" t="str">
        <f>IFERROR(INDEX('Static Data Tab'!$J$2:$J$610,MATCH(C9,'Static Data Tab'!$B$2:$B$610,0)), "")</f>
        <v>Cape and Islands</v>
      </c>
      <c r="H9" s="46" t="str">
        <f>IFERROR(INDEX('Static Data Tab'!$F$2:$F$610,MATCH(C9,'Static Data Tab'!$B$2:$B$610,0)), "")</f>
        <v>x</v>
      </c>
      <c r="I9" s="46">
        <f>IFERROR(INDEX('Static Data Tab'!$G$2:$G$610,MATCH(C9,'Static Data Tab'!$B$2:$B$610,0)), "")</f>
        <v>0</v>
      </c>
      <c r="J9" s="46" t="str">
        <f>IFERROR(INDEX('Prior Year Data Pull'!$A$2:$CB$593,MATCH(C9,'Prior Year Data Pull'!$A$2:$A$593,0),MATCH("Quarter Range",'Prior Year Data Pull'!$A$1:$CB$1,0)),"")</f>
        <v xml:space="preserve">10/01/2024-09/30/2025
</v>
      </c>
      <c r="K9" s="45">
        <f t="shared" si="0"/>
        <v>7.7301474003266202E-2</v>
      </c>
      <c r="L9" s="45">
        <f t="shared" si="1"/>
        <v>3.2484586402884492E-2</v>
      </c>
      <c r="M9" s="45">
        <f t="shared" si="2"/>
        <v>0.1097860604061507</v>
      </c>
      <c r="N9" s="47">
        <f t="shared" si="3"/>
        <v>86609979</v>
      </c>
      <c r="O9" s="265">
        <f t="shared" si="4"/>
        <v>2.0861612301844752</v>
      </c>
      <c r="P9" s="47">
        <f>IFERROR(INDEX('Prior Year Data Pull'!$A$2:$CB$593,MATCH('Prior Year Data Table'!$C9,'Prior Year Data Pull'!$A$2:$A$593,0),MATCH("Total Net Assets or Equity",'Prior Year Data Pull'!$A$1:$CB$1,0)),"")</f>
        <v>644801078</v>
      </c>
      <c r="Q9" s="47">
        <f>IFERROR(INDEX('Prior Year Data Pull'!$A$2:$CB$593,MATCH('Prior Year Data Table'!$C9,'Prior Year Data Pull'!$A$2:$A$593,0),MATCH("Total Operating Revenue",'Prior Year Data Pull'!$A$1:$CB$1,0)),"")</f>
        <v>763270759</v>
      </c>
      <c r="R9" s="47">
        <f>IFERROR(INDEX('Prior Year Data Pull'!$A$2:$CB$593,MATCH('Prior Year Data Table'!$C9,'Prior Year Data Pull'!$A$2:$A$593,0),MATCH("Total Unrestricted Revenue Gains and Other Support",'Prior Year Data Pull'!$A$1:$CB$1,0)),"")</f>
        <v>788897777</v>
      </c>
      <c r="S9" s="47">
        <f>IFERROR(INDEX('Prior Year TS Data Pull'!$K$2:$K$607,MATCH(C9,'Prior Year TS Data Pull'!$A$2:$A$607,0))+INDEX('Prior Year TS Data Pull'!$O$2:$O$119,MATCH(C9,'Prior Year TS Data Pull'!$A$2:$A$607,0))+INDEX('Prior Year TS Data Pull'!$S$2:$S$119,MATCH(C9,'Prior Year TS Data Pull'!$A$2:$A$607,0)),"")</f>
        <v>6441572.1600000001</v>
      </c>
      <c r="T9" s="47">
        <f>IF(INDEX('Prior Year TS Data Pull'!$A$1:$O$607,MATCH(C9,'Prior Year TS Data Pull'!$A$1:$A$607,0),MATCH("Temporary RN Staffing:
Line Reported on in Standardized Financials",'Prior Year TS Data Pull'!$A$1:$O$1,0))="66.1: Salary and Benefit Expense",'Prior Year Data Table'!$AV9-'Prior Year Data Table'!$S9,0)</f>
        <v>359302369.83999997</v>
      </c>
      <c r="U9" s="47">
        <f>IFERROR(INDEX('Prior Year Data Pull'!$A$2:$CB$593,MATCH(C9,'Prior Year Data Pull'!$A$2:$A$593,0),MATCH("Total Expenses Including Nonrecurring Gains Losses",'Prior Year Data Pull'!$A$1:$CB$1,0)),"")</f>
        <v>702287798</v>
      </c>
      <c r="V9" s="266">
        <f t="shared" si="5"/>
        <v>16.814298559373949</v>
      </c>
      <c r="W9" s="266">
        <f t="shared" si="6"/>
        <v>36.784962339568992</v>
      </c>
      <c r="X9" s="266">
        <f t="shared" si="7"/>
        <v>38.835949704800434</v>
      </c>
      <c r="Y9" s="45">
        <f t="shared" si="8"/>
        <v>1.0625644707098851</v>
      </c>
      <c r="Z9" s="266">
        <f t="shared" si="9"/>
        <v>22.296694532693436</v>
      </c>
      <c r="AA9" s="265">
        <f t="shared" si="10"/>
        <v>1.1042525801860925</v>
      </c>
      <c r="AB9" s="45">
        <f t="shared" si="11"/>
        <v>0.77762972058003055</v>
      </c>
      <c r="AC9" s="45">
        <f t="shared" si="12"/>
        <v>0.1395019702676627</v>
      </c>
      <c r="AD9" s="47">
        <f>IFERROR(INDEX('Prior Year Data Pull'!$A$2:$CB$593,MATCH(C9,'Prior Year Data Pull'!$A$2:$A$593,0),MATCH("Net Patient Service Revenue",'Prior Year Data Pull'!$A$1:$CB$1,0)),"")</f>
        <v>749389724</v>
      </c>
      <c r="AE9" s="47">
        <f>IFERROR(INDEX('Prior Year Data Pull'!$A$2:$CB$593,MATCH(C9,'Prior Year Data Pull'!$A$2:$A$593,0),MATCH("Total Current Assets",'Prior Year Data Pull'!$A$1:$CB$1,0)),"")</f>
        <v>169373196</v>
      </c>
      <c r="AF9" s="47">
        <f>IFERROR(INDEX('Prior Year Data Pull'!$A$2:$CB$593,MATCH(C9,'Prior Year Data Pull'!$A$2:$A$593,0),MATCH("Total Current Liabilities",'Prior Year Data Pull'!$A$1:$CB$1,0)),"")</f>
        <v>81188929</v>
      </c>
      <c r="AG9" s="47">
        <f>IFERROR(INDEX('Prior Year Data Pull'!$A$2:$CB$593,MATCH(C9,'Prior Year Data Pull'!$A$2:$A$593,0),MATCH("Total Non Operating Revenue",'Prior Year Data Pull'!$A$1:$CB$1,0)),"")</f>
        <v>25627018</v>
      </c>
      <c r="AH9" s="47">
        <f>IFERROR(INDEX('Prior Year Data Pull'!$A$2:$CB$593,MATCH(C9,'Prior Year Data Pull'!$A$2:$A$593,0),MATCH("Less Accumulated Depreciation",'Prior Year Data Pull'!$A$1:$CB$1,0)),"")</f>
        <v>357358659</v>
      </c>
      <c r="AI9" s="47">
        <f>IFERROR(INDEX('Prior Year Data Pull'!$A$2:$CB$593,MATCH(C9,'Prior Year Data Pull'!$A$2:$A$593,0),MATCH("Depreciation and Amortization Expense",'Prior Year Data Pull'!$A$1:$CB$1,0)),"")</f>
        <v>21253260</v>
      </c>
      <c r="AJ9" s="47">
        <f>IFERROR(INDEX('Prior Year Data Pull'!$A$2:$CB$593,MATCH(C9,'Prior Year Data Pull'!$A$2:$A$593,0),MATCH("Net Patient Accounts Receivable",'Prior Year Data Pull'!$A$1:$CB$1,0)),"")</f>
        <v>75524035</v>
      </c>
      <c r="AK9" s="46">
        <v>365</v>
      </c>
      <c r="AL9" s="47">
        <f>IFERROR(INDEX('Prior Year Data Pull'!$A$2:$CB$593,MATCH(C9,'Prior Year Data Pull'!$A$2:$A$593,0),MATCH("Estimated Third Party Settlements",'Prior Year Data Pull'!$A$1:$CB$1,0)),"")</f>
        <v>8726948</v>
      </c>
      <c r="AM9" s="47">
        <f>IFERROR(INDEX('Prior Year Data Pull'!$A$2:$CB$593,MATCH(C9,'Prior Year Data Pull'!$A$2:$A$593,0),MATCH("Current Liabilities due to Affiliates",'Prior Year Data Pull'!$A$1:$CB$1,0)),"")</f>
        <v>3912941</v>
      </c>
      <c r="AN9" s="47">
        <f>IFERROR(INDEX('Prior Year Data Pull'!$A$2:$CB$593,MATCH(C9,'Prior Year Data Pull'!$A$2:$A$593,0),MATCH("Short Term Investments",'Prior Year Data Pull'!$A$1:$CB$1,0)),"")</f>
        <v>5878980</v>
      </c>
      <c r="AO9" s="47">
        <f>IFERROR(INDEX('Prior Year Data Pull'!$A$2:$CB$593,MATCH(C9,'Prior Year Data Pull'!$A$2:$A$593,0),MATCH("Cash and Cash Equivalents",'Prior Year Data Pull'!$A$1:$CB$1,0)),"")</f>
        <v>35723264</v>
      </c>
      <c r="AP9" s="47">
        <f>IFERROR(INDEX('Prior Year Data Pull'!$A$2:$CB$593,MATCH(C9,'Prior Year Data Pull'!$A$2:$A$593,0),MATCH("Interest Expense",'Prior Year Data Pull'!$A$1:$CB$1,0)),"")</f>
        <v>853928</v>
      </c>
      <c r="AQ9" s="47">
        <f>IFERROR(INDEX('Prior Year Data Pull'!$A$2:$CB$593,MATCH(C9,'Prior Year Data Pull'!$A$2:$A$593,0),MATCH("Long Term Debt Net of Current Portion",'Prior Year Data Pull'!$A$1:$CB$1,0)),"")</f>
        <v>97599242</v>
      </c>
      <c r="AR9" s="47">
        <f>IFERROR(INDEX('Prior Year Data Pull'!$A$2:$CB$593,MATCH(C9,'Prior Year Data Pull'!$A$2:$A$593,0),MATCH("Total Assets",'Prior Year Data Pull'!$A$1:$CB$1,0)),"")</f>
        <v>829187801</v>
      </c>
      <c r="AS9" s="47">
        <f>IFERROR(INDEX('Prior Year Data Pull'!$A$2:$CB$593,MATCH(C9,'Prior Year Data Pull'!$A$2:$A$593,0),MATCH("Long Term Debt Net of Current Portion",'Prior Year Data Pull'!$A$1:$CB$1,0)),"")</f>
        <v>97599242</v>
      </c>
      <c r="AT9" s="47">
        <f>IFERROR(INDEX('Prior Year Data Pull'!$A$2:$CB$593,MATCH(C9,'Prior Year Data Pull'!$A$2:$A$593,0),MATCH("Net Unrestricted Assets",'Prior Year Data Pull'!$A$1:$CB$1,0)),"")</f>
        <v>602027020</v>
      </c>
      <c r="AU9" s="47">
        <f>IFERROR(INDEX('Prior Year Data Pull'!$A$2:$CB$593,MATCH(C9,'Prior Year Data Pull'!$A$2:$A$593,0),MATCH("Unrealized Gains/Losses",'Prior Year Data Pull'!$A$1:$CB$1,0)),"")</f>
        <v>0</v>
      </c>
      <c r="AV9" s="47">
        <f>IFERROR(INDEX('Prior Year Data Pull'!$A$2:$CB$593,MATCH(C9,'Prior Year Data Pull'!$A$2:$A$593,0),MATCH("Salary and Benefit Expense",'Prior Year Data Pull'!$A$1:$CB$1,0)),"")</f>
        <v>365743942</v>
      </c>
    </row>
    <row r="10" spans="1:83" ht="34.200000000000003" x14ac:dyDescent="0.3">
      <c r="A10" s="14" t="str">
        <f>IFERROR(INDEX('Static Data Tab'!$N$2:$N$610,MATCH(D10,'Static Data Tab'!$D$2:$D$610,0)), "")</f>
        <v>Cape Cod Healthcare</v>
      </c>
      <c r="B10" s="14" t="s">
        <v>125</v>
      </c>
      <c r="C10" s="14">
        <v>40</v>
      </c>
      <c r="D10" s="14">
        <v>3109</v>
      </c>
      <c r="E10" s="14" t="str">
        <f>IFERROR(INDEX('Prior Year Data Pull'!$A$1:$CB$593,MATCH(C10,'Prior Year Data Pull'!$A$1:$A$593,0),MATCH("Organization Type",'Prior Year Data Pull'!$A$1:$CB$1,0)),"")</f>
        <v>AcuteHospital</v>
      </c>
      <c r="F10" s="14" t="str">
        <f>IFERROR(INDEX('Static Data Tab'!$E$2:$E$610,MATCH(C10,'Static Data Tab'!$B$2:$B$610,0)), "-")</f>
        <v>Community-High Public Payer Hospital</v>
      </c>
      <c r="G10" s="14" t="str">
        <f>IFERROR(INDEX('Static Data Tab'!$J$2:$J$610,MATCH(C10,'Static Data Tab'!$B$2:$B$610,0)), "")</f>
        <v>Cape and Islands</v>
      </c>
      <c r="H10" s="14" t="str">
        <f>IFERROR(INDEX('Static Data Tab'!$F$2:$F$610,MATCH(C10,'Static Data Tab'!$B$2:$B$610,0)), "")</f>
        <v>x</v>
      </c>
      <c r="I10" s="14">
        <f>IFERROR(INDEX('Static Data Tab'!$G$2:$G$610,MATCH(C10,'Static Data Tab'!$B$2:$B$610,0)), "")</f>
        <v>0</v>
      </c>
      <c r="J10" s="14" t="str">
        <f>IFERROR(INDEX('Prior Year Data Pull'!$A$2:$CB$593,MATCH(C10,'Prior Year Data Pull'!$A$2:$A$593,0),MATCH("Quarter Range",'Prior Year Data Pull'!$A$1:$CB$1,0)),"")</f>
        <v xml:space="preserve">10/01/2024-09/30/2025
</v>
      </c>
      <c r="K10" s="37">
        <f t="shared" si="0"/>
        <v>3.8271281248265135E-2</v>
      </c>
      <c r="L10" s="37">
        <f t="shared" si="1"/>
        <v>0.1067519258640523</v>
      </c>
      <c r="M10" s="37">
        <f t="shared" si="2"/>
        <v>0.14502320711231742</v>
      </c>
      <c r="N10" s="38">
        <f t="shared" si="3"/>
        <v>32643218</v>
      </c>
      <c r="O10" s="39">
        <f t="shared" si="4"/>
        <v>0.47077492497167645</v>
      </c>
      <c r="P10" s="38">
        <f>IFERROR(INDEX('Prior Year Data Pull'!$A$2:$CB$593,MATCH('Prior Year Data Table'!$C10,'Prior Year Data Pull'!$A$2:$A$593,0),MATCH("Total Net Assets or Equity",'Prior Year Data Pull'!$A$1:$CB$1,0)),"")</f>
        <v>294794471</v>
      </c>
      <c r="Q10" s="38">
        <f>IFERROR(INDEX('Prior Year Data Pull'!$A$2:$CB$593,MATCH('Prior Year Data Table'!$C10,'Prior Year Data Pull'!$A$2:$A$593,0),MATCH("Total Operating Revenue",'Prior Year Data Pull'!$A$1:$CB$1,0)),"")</f>
        <v>201060866</v>
      </c>
      <c r="R10" s="38">
        <f>IFERROR(INDEX('Prior Year Data Pull'!$A$2:$CB$593,MATCH('Prior Year Data Table'!$C10,'Prior Year Data Pull'!$A$2:$A$593,0),MATCH("Total Unrestricted Revenue Gains and Other Support",'Prior Year Data Pull'!$A$1:$CB$1,0)),"")</f>
        <v>225089616</v>
      </c>
      <c r="S10" s="38">
        <f>IFERROR(INDEX('Prior Year TS Data Pull'!$K$2:$K$607,MATCH(C10,'Prior Year TS Data Pull'!$A$2:$A$607,0))+INDEX('Prior Year TS Data Pull'!$O$2:$O$119,MATCH(C10,'Prior Year TS Data Pull'!$A$2:$A$607,0))+INDEX('Prior Year TS Data Pull'!$S$2:$S$119,MATCH(C10,'Prior Year TS Data Pull'!$A$2:$A$607,0)),"")</f>
        <v>2018425.78</v>
      </c>
      <c r="T10" s="38">
        <f>IF(INDEX('Prior Year TS Data Pull'!$A$1:$O$607,MATCH(C10,'Prior Year TS Data Pull'!$A$1:$A$607,0),MATCH("Temporary RN Staffing:
Line Reported on in Standardized Financials",'Prior Year TS Data Pull'!$A$1:$O$1,0))="66.1: Salary and Benefit Expense",'Prior Year Data Table'!$AV10-'Prior Year Data Table'!$S10,0)</f>
        <v>103743345.22</v>
      </c>
      <c r="U10" s="38">
        <f>IFERROR(INDEX('Prior Year Data Pull'!$A$2:$CB$593,MATCH(C10,'Prior Year Data Pull'!$A$2:$A$593,0),MATCH("Total Expenses Including Nonrecurring Gains Losses",'Prior Year Data Pull'!$A$1:$CB$1,0)),"")</f>
        <v>192446398</v>
      </c>
      <c r="V10" s="41">
        <f t="shared" si="5"/>
        <v>19.127329244801178</v>
      </c>
      <c r="W10" s="41">
        <f t="shared" si="6"/>
        <v>37.291339992884403</v>
      </c>
      <c r="X10" s="41">
        <f t="shared" si="7"/>
        <v>135.73447041526677</v>
      </c>
      <c r="Y10" s="37">
        <f t="shared" si="8"/>
        <v>0.62432587894768832</v>
      </c>
      <c r="Z10" s="41">
        <f t="shared" si="9"/>
        <v>13.312349850879777</v>
      </c>
      <c r="AA10" s="39">
        <f t="shared" si="10"/>
        <v>3.450033370465019</v>
      </c>
      <c r="AB10" s="37">
        <f t="shared" si="11"/>
        <v>0.77944421887965643</v>
      </c>
      <c r="AC10" s="37">
        <f t="shared" si="12"/>
        <v>4.0397983149539796E-2</v>
      </c>
      <c r="AD10" s="38">
        <f>IFERROR(INDEX('Prior Year Data Pull'!$A$2:$CB$593,MATCH(C10,'Prior Year Data Pull'!$A$2:$A$593,0),MATCH("Net Patient Service Revenue",'Prior Year Data Pull'!$A$1:$CB$1,0)),"")</f>
        <v>198116858</v>
      </c>
      <c r="AE10" s="38">
        <f>IFERROR(INDEX('Prior Year Data Pull'!$A$2:$CB$593,MATCH(C10,'Prior Year Data Pull'!$A$2:$A$593,0),MATCH("Total Current Assets",'Prior Year Data Pull'!$A$1:$CB$1,0)),"")</f>
        <v>33618680</v>
      </c>
      <c r="AF10" s="38">
        <f>IFERROR(INDEX('Prior Year Data Pull'!$A$2:$CB$593,MATCH(C10,'Prior Year Data Pull'!$A$2:$A$593,0),MATCH("Total Current Liabilities",'Prior Year Data Pull'!$A$1:$CB$1,0)),"")</f>
        <v>71411365</v>
      </c>
      <c r="AG10" s="38">
        <f>IFERROR(INDEX('Prior Year Data Pull'!$A$2:$CB$593,MATCH(C10,'Prior Year Data Pull'!$A$2:$A$593,0),MATCH("Total Non Operating Revenue",'Prior Year Data Pull'!$A$1:$CB$1,0)),"")</f>
        <v>24028750</v>
      </c>
      <c r="AH10" s="38">
        <f>IFERROR(INDEX('Prior Year Data Pull'!$A$2:$CB$593,MATCH(C10,'Prior Year Data Pull'!$A$2:$A$593,0),MATCH("Less Accumulated Depreciation",'Prior Year Data Pull'!$A$1:$CB$1,0)),"")</f>
        <v>140959924</v>
      </c>
      <c r="AI10" s="38">
        <f>IFERROR(INDEX('Prior Year Data Pull'!$A$2:$CB$593,MATCH(C10,'Prior Year Data Pull'!$A$2:$A$593,0),MATCH("Depreciation and Amortization Expense",'Prior Year Data Pull'!$A$1:$CB$1,0)),"")</f>
        <v>7369556</v>
      </c>
      <c r="AJ10" s="38">
        <f>IFERROR(INDEX('Prior Year Data Pull'!$A$2:$CB$593,MATCH(C10,'Prior Year Data Pull'!$A$2:$A$593,0),MATCH("Net Patient Accounts Receivable",'Prior Year Data Pull'!$A$1:$CB$1,0)),"")</f>
        <v>20241214</v>
      </c>
      <c r="AK10" s="14">
        <v>365</v>
      </c>
      <c r="AL10" s="38">
        <f>IFERROR(INDEX('Prior Year Data Pull'!$A$2:$CB$593,MATCH(C10,'Prior Year Data Pull'!$A$2:$A$593,0),MATCH("Estimated Third Party Settlements",'Prior Year Data Pull'!$A$1:$CB$1,0)),"")</f>
        <v>2585866</v>
      </c>
      <c r="AM10" s="38">
        <f>IFERROR(INDEX('Prior Year Data Pull'!$A$2:$CB$593,MATCH(C10,'Prior Year Data Pull'!$A$2:$A$593,0),MATCH("Current Liabilities due to Affiliates",'Prior Year Data Pull'!$A$1:$CB$1,0)),"")</f>
        <v>52629524</v>
      </c>
      <c r="AN10" s="38">
        <f>IFERROR(INDEX('Prior Year Data Pull'!$A$2:$CB$593,MATCH(C10,'Prior Year Data Pull'!$A$2:$A$593,0),MATCH("Short Term Investments",'Prior Year Data Pull'!$A$1:$CB$1,0)),"")</f>
        <v>3003717</v>
      </c>
      <c r="AO10" s="38">
        <f>IFERROR(INDEX('Prior Year Data Pull'!$A$2:$CB$593,MATCH(C10,'Prior Year Data Pull'!$A$2:$A$593,0),MATCH("Cash and Cash Equivalents",'Prior Year Data Pull'!$A$1:$CB$1,0)),"")</f>
        <v>3746441</v>
      </c>
      <c r="AP10" s="38">
        <f>IFERROR(INDEX('Prior Year Data Pull'!$A$2:$CB$593,MATCH(C10,'Prior Year Data Pull'!$A$2:$A$593,0),MATCH("Interest Expense",'Prior Year Data Pull'!$A$1:$CB$1,0)),"")</f>
        <v>193977</v>
      </c>
      <c r="AQ10" s="38">
        <f>IFERROR(INDEX('Prior Year Data Pull'!$A$2:$CB$593,MATCH(C10,'Prior Year Data Pull'!$A$2:$A$593,0),MATCH("Long Term Debt Net of Current Portion",'Prior Year Data Pull'!$A$1:$CB$1,0)),"")</f>
        <v>11460041</v>
      </c>
      <c r="AR10" s="38">
        <f>IFERROR(INDEX('Prior Year Data Pull'!$A$2:$CB$593,MATCH(C10,'Prior Year Data Pull'!$A$2:$A$593,0),MATCH("Total Assets",'Prior Year Data Pull'!$A$1:$CB$1,0)),"")</f>
        <v>378211120</v>
      </c>
      <c r="AS10" s="38">
        <f>IFERROR(INDEX('Prior Year Data Pull'!$A$2:$CB$593,MATCH(C10,'Prior Year Data Pull'!$A$2:$A$593,0),MATCH("Long Term Debt Net of Current Portion",'Prior Year Data Pull'!$A$1:$CB$1,0)),"")</f>
        <v>11460041</v>
      </c>
      <c r="AT10" s="38">
        <f>IFERROR(INDEX('Prior Year Data Pull'!$A$2:$CB$593,MATCH(C10,'Prior Year Data Pull'!$A$2:$A$593,0),MATCH("Net Unrestricted Assets",'Prior Year Data Pull'!$A$1:$CB$1,0)),"")</f>
        <v>272218502</v>
      </c>
      <c r="AU10" s="38">
        <f>IFERROR(INDEX('Prior Year Data Pull'!$A$2:$CB$593,MATCH(C10,'Prior Year Data Pull'!$A$2:$A$593,0),MATCH("Unrealized Gains/Losses",'Prior Year Data Pull'!$A$1:$CB$1,0)),"")</f>
        <v>0</v>
      </c>
      <c r="AV10" s="38">
        <f>IFERROR(INDEX('Prior Year Data Pull'!$A$2:$CB$593,MATCH(C10,'Prior Year Data Pull'!$A$2:$A$593,0),MATCH("Salary and Benefit Expense",'Prior Year Data Pull'!$A$1:$CB$1,0)),"")</f>
        <v>105761771</v>
      </c>
    </row>
    <row r="11" spans="1:83" ht="34.200000000000003" x14ac:dyDescent="0.3">
      <c r="A11" s="46" t="str">
        <f>IFERROR(INDEX('Static Data Tab'!$N$2:$N$610,MATCH(D11,'Static Data Tab'!$D$2:$D$610,0)), "")</f>
        <v>Boston Children's Hospital and Subsid.</v>
      </c>
      <c r="B11" s="46" t="s">
        <v>115</v>
      </c>
      <c r="C11" s="46">
        <v>46</v>
      </c>
      <c r="D11" s="46">
        <v>14286</v>
      </c>
      <c r="E11" s="46" t="str">
        <f>IFERROR(INDEX('Prior Year Data Pull'!$A$1:$CB$593,MATCH(C11,'Prior Year Data Pull'!$A$1:$A$593,0),MATCH("Organization Type",'Prior Year Data Pull'!$A$1:$CB$1,0)),"")</f>
        <v>AcuteHospital</v>
      </c>
      <c r="F11" s="46" t="str">
        <f>IFERROR(INDEX('Static Data Tab'!$E$2:$E$610,MATCH(C11,'Static Data Tab'!$B$2:$B$610,0)), "-")</f>
        <v>Specialty Hospital</v>
      </c>
      <c r="G11" s="46" t="str">
        <f>IFERROR(INDEX('Static Data Tab'!$J$2:$J$610,MATCH(C11,'Static Data Tab'!$B$2:$B$610,0)), "")</f>
        <v>Metro Boston</v>
      </c>
      <c r="H11" s="46">
        <f>IFERROR(INDEX('Static Data Tab'!$F$2:$F$610,MATCH(C11,'Static Data Tab'!$B$2:$B$610,0)), "")</f>
        <v>0</v>
      </c>
      <c r="I11" s="46" t="str">
        <f>IFERROR(INDEX('Static Data Tab'!$G$2:$G$610,MATCH(C11,'Static Data Tab'!$B$2:$B$610,0)), "")</f>
        <v>x</v>
      </c>
      <c r="J11" s="46" t="str">
        <f>IFERROR(INDEX('Prior Year Data Pull'!$A$2:$CB$593,MATCH(C11,'Prior Year Data Pull'!$A$2:$A$593,0),MATCH("Quarter Range",'Prior Year Data Pull'!$A$1:$CB$1,0)),"")</f>
        <v xml:space="preserve">10/01/2024-09/30/2025
</v>
      </c>
      <c r="K11" s="45">
        <f t="shared" si="0"/>
        <v>-8.2855957441831552E-4</v>
      </c>
      <c r="L11" s="45">
        <f t="shared" si="1"/>
        <v>2.0536396910814735E-2</v>
      </c>
      <c r="M11" s="45">
        <f t="shared" si="2"/>
        <v>1.970783733639642E-2</v>
      </c>
      <c r="N11" s="47">
        <f t="shared" si="3"/>
        <v>64031000</v>
      </c>
      <c r="O11" s="265">
        <f t="shared" si="4"/>
        <v>4.8113019942241033</v>
      </c>
      <c r="P11" s="47">
        <f>IFERROR(INDEX('Prior Year Data Pull'!$A$2:$CB$593,MATCH('Prior Year Data Table'!$C11,'Prior Year Data Pull'!$A$2:$A$593,0),MATCH("Total Net Assets or Equity",'Prior Year Data Pull'!$A$1:$CB$1,0)),"")</f>
        <v>5633260000</v>
      </c>
      <c r="Q11" s="47">
        <f>IFERROR(INDEX('Prior Year Data Pull'!$A$2:$CB$593,MATCH('Prior Year Data Table'!$C11,'Prior Year Data Pull'!$A$2:$A$593,0),MATCH("Total Operating Revenue",'Prior Year Data Pull'!$A$1:$CB$1,0)),"")</f>
        <v>3182289000</v>
      </c>
      <c r="R11" s="47">
        <f>IFERROR(INDEX('Prior Year Data Pull'!$A$2:$CB$593,MATCH('Prior Year Data Table'!$C11,'Prior Year Data Pull'!$A$2:$A$593,0),MATCH("Total Unrestricted Revenue Gains and Other Support",'Prior Year Data Pull'!$A$1:$CB$1,0)),"")</f>
        <v>3249012000</v>
      </c>
      <c r="S11" s="47">
        <f>IFERROR(INDEX('Prior Year TS Data Pull'!$K$2:$K$607,MATCH(C11,'Prior Year TS Data Pull'!$A$2:$A$607,0))+INDEX('Prior Year TS Data Pull'!$O$2:$O$119,MATCH(C11,'Prior Year TS Data Pull'!$A$2:$A$607,0))+INDEX('Prior Year TS Data Pull'!$S$2:$S$119,MATCH(C11,'Prior Year TS Data Pull'!$A$2:$A$607,0)),"")</f>
        <v>15780636.42</v>
      </c>
      <c r="T11" s="47">
        <f>IF(INDEX('Prior Year TS Data Pull'!$A$1:$O$607,MATCH(C11,'Prior Year TS Data Pull'!$A$1:$A$607,0),MATCH("Temporary RN Staffing:
Line Reported on in Standardized Financials",'Prior Year TS Data Pull'!$A$1:$O$1,0))="66.1: Salary and Benefit Expense",'Prior Year Data Table'!$AV11-'Prior Year Data Table'!$S11,0)</f>
        <v>1331513363.5799999</v>
      </c>
      <c r="U11" s="47">
        <f>IFERROR(INDEX('Prior Year Data Pull'!$A$2:$CB$593,MATCH(C11,'Prior Year Data Pull'!$A$2:$A$593,0),MATCH("Total Expenses Including Nonrecurring Gains Losses",'Prior Year Data Pull'!$A$1:$CB$1,0)),"")</f>
        <v>3184981000</v>
      </c>
      <c r="V11" s="266">
        <f t="shared" si="5"/>
        <v>13.638476011743823</v>
      </c>
      <c r="W11" s="266">
        <f t="shared" si="6"/>
        <v>67.231309593918056</v>
      </c>
      <c r="X11" s="266">
        <f t="shared" si="7"/>
        <v>82.527026083242617</v>
      </c>
      <c r="Y11" s="45">
        <f t="shared" si="8"/>
        <v>0.13502139352423553</v>
      </c>
      <c r="Z11" s="266">
        <f t="shared" si="9"/>
        <v>5.9317031502561582E-2</v>
      </c>
      <c r="AA11" s="265">
        <f t="shared" si="10"/>
        <v>0.1561664120845945</v>
      </c>
      <c r="AB11" s="45">
        <f t="shared" si="11"/>
        <v>0.62002983666440448</v>
      </c>
      <c r="AC11" s="45">
        <f t="shared" si="12"/>
        <v>0.38574764338505196</v>
      </c>
      <c r="AD11" s="47">
        <f>IFERROR(INDEX('Prior Year Data Pull'!$A$2:$CB$593,MATCH(C11,'Prior Year Data Pull'!$A$2:$A$593,0),MATCH("Net Patient Service Revenue",'Prior Year Data Pull'!$A$1:$CB$1,0)),"")</f>
        <v>2321231000</v>
      </c>
      <c r="AE11" s="47">
        <f>IFERROR(INDEX('Prior Year Data Pull'!$A$2:$CB$593,MATCH(C11,'Prior Year Data Pull'!$A$2:$A$593,0),MATCH("Total Current Assets",'Prior Year Data Pull'!$A$1:$CB$1,0)),"")</f>
        <v>3343648000</v>
      </c>
      <c r="AF11" s="47">
        <f>IFERROR(INDEX('Prior Year Data Pull'!$A$2:$CB$593,MATCH(C11,'Prior Year Data Pull'!$A$2:$A$593,0),MATCH("Total Current Liabilities",'Prior Year Data Pull'!$A$1:$CB$1,0)),"")</f>
        <v>694957000</v>
      </c>
      <c r="AG11" s="47">
        <f>IFERROR(INDEX('Prior Year Data Pull'!$A$2:$CB$593,MATCH(C11,'Prior Year Data Pull'!$A$2:$A$593,0),MATCH("Total Non Operating Revenue",'Prior Year Data Pull'!$A$1:$CB$1,0)),"")</f>
        <v>66723000</v>
      </c>
      <c r="AH11" s="47">
        <f>IFERROR(INDEX('Prior Year Data Pull'!$A$2:$CB$593,MATCH(C11,'Prior Year Data Pull'!$A$2:$A$593,0),MATCH("Less Accumulated Depreciation",'Prior Year Data Pull'!$A$1:$CB$1,0)),"")</f>
        <v>2819714000</v>
      </c>
      <c r="AI11" s="47">
        <f>IFERROR(INDEX('Prior Year Data Pull'!$A$2:$CB$593,MATCH(C11,'Prior Year Data Pull'!$A$2:$A$593,0),MATCH("Depreciation and Amortization Expense",'Prior Year Data Pull'!$A$1:$CB$1,0)),"")</f>
        <v>206747000</v>
      </c>
      <c r="AJ11" s="47">
        <f>IFERROR(INDEX('Prior Year Data Pull'!$A$2:$CB$593,MATCH(C11,'Prior Year Data Pull'!$A$2:$A$593,0),MATCH("Net Patient Accounts Receivable",'Prior Year Data Pull'!$A$1:$CB$1,0)),"")</f>
        <v>427560000</v>
      </c>
      <c r="AK11" s="46">
        <v>365</v>
      </c>
      <c r="AL11" s="47">
        <f>IFERROR(INDEX('Prior Year Data Pull'!$A$2:$CB$593,MATCH(C11,'Prior Year Data Pull'!$A$2:$A$593,0),MATCH("Estimated Third Party Settlements",'Prior Year Data Pull'!$A$1:$CB$1,0)),"")</f>
        <v>21574000</v>
      </c>
      <c r="AM11" s="47">
        <f>IFERROR(INDEX('Prior Year Data Pull'!$A$2:$CB$593,MATCH(C11,'Prior Year Data Pull'!$A$2:$A$593,0),MATCH("Current Liabilities due to Affiliates",'Prior Year Data Pull'!$A$1:$CB$1,0)),"")</f>
        <v>0</v>
      </c>
      <c r="AN11" s="47">
        <f>IFERROR(INDEX('Prior Year Data Pull'!$A$2:$CB$593,MATCH(C11,'Prior Year Data Pull'!$A$2:$A$593,0),MATCH("Short Term Investments",'Prior Year Data Pull'!$A$1:$CB$1,0)),"")</f>
        <v>0</v>
      </c>
      <c r="AO11" s="47">
        <f>IFERROR(INDEX('Prior Year Data Pull'!$A$2:$CB$593,MATCH(C11,'Prior Year Data Pull'!$A$2:$A$593,0),MATCH("Cash and Cash Equivalents",'Prior Year Data Pull'!$A$1:$CB$1,0)),"")</f>
        <v>484000</v>
      </c>
      <c r="AP11" s="47">
        <f>IFERROR(INDEX('Prior Year Data Pull'!$A$2:$CB$593,MATCH(C11,'Prior Year Data Pull'!$A$2:$A$593,0),MATCH("Interest Expense",'Prior Year Data Pull'!$A$1:$CB$1,0)),"")</f>
        <v>50284000</v>
      </c>
      <c r="AQ11" s="47">
        <f>IFERROR(INDEX('Prior Year Data Pull'!$A$2:$CB$593,MATCH(C11,'Prior Year Data Pull'!$A$2:$A$593,0),MATCH("Long Term Debt Net of Current Portion",'Prior Year Data Pull'!$A$1:$CB$1,0)),"")</f>
        <v>2006682000</v>
      </c>
      <c r="AR11" s="47">
        <f>IFERROR(INDEX('Prior Year Data Pull'!$A$2:$CB$593,MATCH(C11,'Prior Year Data Pull'!$A$2:$A$593,0),MATCH("Total Assets",'Prior Year Data Pull'!$A$1:$CB$1,0)),"")</f>
        <v>9085466000</v>
      </c>
      <c r="AS11" s="47">
        <f>IFERROR(INDEX('Prior Year Data Pull'!$A$2:$CB$593,MATCH(C11,'Prior Year Data Pull'!$A$2:$A$593,0),MATCH("Long Term Debt Net of Current Portion",'Prior Year Data Pull'!$A$1:$CB$1,0)),"")</f>
        <v>2006682000</v>
      </c>
      <c r="AT11" s="47">
        <f>IFERROR(INDEX('Prior Year Data Pull'!$A$2:$CB$593,MATCH(C11,'Prior Year Data Pull'!$A$2:$A$593,0),MATCH("Net Unrestricted Assets",'Prior Year Data Pull'!$A$1:$CB$1,0)),"")</f>
        <v>3195377000</v>
      </c>
      <c r="AU11" s="47">
        <f>IFERROR(INDEX('Prior Year Data Pull'!$A$2:$CB$593,MATCH(C11,'Prior Year Data Pull'!$A$2:$A$593,0),MATCH("Unrealized Gains/Losses",'Prior Year Data Pull'!$A$1:$CB$1,0)),"")</f>
        <v>-167000</v>
      </c>
      <c r="AV11" s="47">
        <f>IFERROR(INDEX('Prior Year Data Pull'!$A$2:$CB$593,MATCH(C11,'Prior Year Data Pull'!$A$2:$A$593,0),MATCH("Salary and Benefit Expense",'Prior Year Data Pull'!$A$1:$CB$1,0)),"")</f>
        <v>1347294000</v>
      </c>
    </row>
    <row r="12" spans="1:83" ht="34.200000000000003" x14ac:dyDescent="0.3">
      <c r="A12" s="14" t="str">
        <f>IFERROR(INDEX('Static Data Tab'!$N$2:$N$610,MATCH(D12,'Static Data Tab'!$D$2:$D$610,0)), "")</f>
        <v>Mass General Brigham</v>
      </c>
      <c r="B12" s="14" t="s">
        <v>144</v>
      </c>
      <c r="C12" s="14">
        <v>50</v>
      </c>
      <c r="D12" s="14">
        <v>3791</v>
      </c>
      <c r="E12" s="14" t="str">
        <f>IFERROR(INDEX('Prior Year Data Pull'!$A$1:$CB$593,MATCH(C12,'Prior Year Data Pull'!$A$1:$A$593,0),MATCH("Organization Type",'Prior Year Data Pull'!$A$1:$CB$1,0)),"")</f>
        <v>AcuteHospital</v>
      </c>
      <c r="F12" s="14" t="str">
        <f>IFERROR(INDEX('Static Data Tab'!$E$2:$E$610,MATCH(C12,'Static Data Tab'!$B$2:$B$610,0)), "-")</f>
        <v>Community-High Public Payer Hospital</v>
      </c>
      <c r="G12" s="14" t="str">
        <f>IFERROR(INDEX('Static Data Tab'!$J$2:$J$610,MATCH(C12,'Static Data Tab'!$B$2:$B$610,0)), "")</f>
        <v>Western Massachusetts</v>
      </c>
      <c r="H12" s="14" t="str">
        <f>IFERROR(INDEX('Static Data Tab'!$F$2:$F$610,MATCH(C12,'Static Data Tab'!$B$2:$B$610,0)), "")</f>
        <v>x</v>
      </c>
      <c r="I12" s="14">
        <f>IFERROR(INDEX('Static Data Tab'!$G$2:$G$610,MATCH(C12,'Static Data Tab'!$B$2:$B$610,0)), "")</f>
        <v>0</v>
      </c>
      <c r="J12" s="14" t="str">
        <f>IFERROR(INDEX('Prior Year Data Pull'!$A$2:$CB$593,MATCH(C12,'Prior Year Data Pull'!$A$2:$A$593,0),MATCH("Quarter Range",'Prior Year Data Pull'!$A$1:$CB$1,0)),"")</f>
        <v xml:space="preserve">10/01/2024-09/30/2025
</v>
      </c>
      <c r="K12" s="37">
        <f t="shared" si="0"/>
        <v>5.6360903063005022E-2</v>
      </c>
      <c r="L12" s="37">
        <f t="shared" si="1"/>
        <v>-1.8573326890553275E-2</v>
      </c>
      <c r="M12" s="37">
        <f t="shared" si="2"/>
        <v>3.7787576172451744E-2</v>
      </c>
      <c r="N12" s="38">
        <f t="shared" si="3"/>
        <v>11261000</v>
      </c>
      <c r="O12" s="39">
        <f t="shared" si="4"/>
        <v>0.33509924892703863</v>
      </c>
      <c r="P12" s="38">
        <f>IFERROR(INDEX('Prior Year Data Pull'!$A$2:$CB$593,MATCH('Prior Year Data Table'!$C12,'Prior Year Data Pull'!$A$2:$A$593,0),MATCH("Total Net Assets or Equity",'Prior Year Data Pull'!$A$1:$CB$1,0)),"")</f>
        <v>18063000</v>
      </c>
      <c r="Q12" s="38">
        <f>IFERROR(INDEX('Prior Year Data Pull'!$A$2:$CB$593,MATCH('Prior Year Data Table'!$C12,'Prior Year Data Pull'!$A$2:$A$593,0),MATCH("Total Operating Revenue",'Prior Year Data Pull'!$A$1:$CB$1,0)),"")</f>
        <v>303543000</v>
      </c>
      <c r="R12" s="38">
        <f>IFERROR(INDEX('Prior Year Data Pull'!$A$2:$CB$593,MATCH('Prior Year Data Table'!$C12,'Prior Year Data Pull'!$A$2:$A$593,0),MATCH("Total Unrestricted Revenue Gains and Other Support",'Prior Year Data Pull'!$A$1:$CB$1,0)),"")</f>
        <v>298008000</v>
      </c>
      <c r="S12" s="38">
        <f>IFERROR(INDEX('Prior Year TS Data Pull'!$K$2:$K$607,MATCH(C12,'Prior Year TS Data Pull'!$A$2:$A$607,0))+INDEX('Prior Year TS Data Pull'!$O$2:$O$119,MATCH(C12,'Prior Year TS Data Pull'!$A$2:$A$607,0))+INDEX('Prior Year TS Data Pull'!$S$2:$S$119,MATCH(C12,'Prior Year TS Data Pull'!$A$2:$A$607,0)),"")</f>
        <v>1987408.9704209026</v>
      </c>
      <c r="T12" s="38">
        <f>IF(INDEX('Prior Year TS Data Pull'!$A$1:$O$607,MATCH(C12,'Prior Year TS Data Pull'!$A$1:$A$607,0),MATCH("Temporary RN Staffing:
Line Reported on in Standardized Financials",'Prior Year TS Data Pull'!$A$1:$O$1,0))="66.1: Salary and Benefit Expense",'Prior Year Data Table'!$AV12-'Prior Year Data Table'!$S12,0)</f>
        <v>0</v>
      </c>
      <c r="U12" s="38">
        <f>IFERROR(INDEX('Prior Year Data Pull'!$A$2:$CB$593,MATCH(C12,'Prior Year Data Pull'!$A$2:$A$593,0),MATCH("Total Expenses Including Nonrecurring Gains Losses",'Prior Year Data Pull'!$A$1:$CB$1,0)),"")</f>
        <v>286747000</v>
      </c>
      <c r="V12" s="41">
        <f t="shared" si="5"/>
        <v>13.705979760809567</v>
      </c>
      <c r="W12" s="41">
        <f t="shared" si="6"/>
        <v>34.749671546546544</v>
      </c>
      <c r="X12" s="41">
        <f t="shared" si="7"/>
        <v>87.367830591169252</v>
      </c>
      <c r="Y12" s="37">
        <f t="shared" si="8"/>
        <v>0.33918092531966149</v>
      </c>
      <c r="Z12" s="41">
        <f t="shared" si="9"/>
        <v>-52.292362175897232</v>
      </c>
      <c r="AA12" s="39">
        <f t="shared" si="10"/>
        <v>0.63738514336322372</v>
      </c>
      <c r="AB12" s="37">
        <f t="shared" si="11"/>
        <v>0.12185545728683897</v>
      </c>
      <c r="AC12" s="37">
        <f t="shared" si="12"/>
        <v>1.0959837474605407</v>
      </c>
      <c r="AD12" s="38">
        <f>IFERROR(INDEX('Prior Year Data Pull'!$A$2:$CB$593,MATCH(C12,'Prior Year Data Pull'!$A$2:$A$593,0),MATCH("Net Patient Service Revenue",'Prior Year Data Pull'!$A$1:$CB$1,0)),"")</f>
        <v>298368000</v>
      </c>
      <c r="AE12" s="38">
        <f>IFERROR(INDEX('Prior Year Data Pull'!$A$2:$CB$593,MATCH(C12,'Prior Year Data Pull'!$A$2:$A$593,0),MATCH("Total Current Assets",'Prior Year Data Pull'!$A$1:$CB$1,0)),"")</f>
        <v>24985000</v>
      </c>
      <c r="AF12" s="38">
        <f>IFERROR(INDEX('Prior Year Data Pull'!$A$2:$CB$593,MATCH(C12,'Prior Year Data Pull'!$A$2:$A$593,0),MATCH("Total Current Liabilities",'Prior Year Data Pull'!$A$1:$CB$1,0)),"")</f>
        <v>74560000</v>
      </c>
      <c r="AG12" s="38">
        <f>IFERROR(INDEX('Prior Year Data Pull'!$A$2:$CB$593,MATCH(C12,'Prior Year Data Pull'!$A$2:$A$593,0),MATCH("Total Non Operating Revenue",'Prior Year Data Pull'!$A$1:$CB$1,0)),"")</f>
        <v>-5535000</v>
      </c>
      <c r="AH12" s="38">
        <f>IFERROR(INDEX('Prior Year Data Pull'!$A$2:$CB$593,MATCH(C12,'Prior Year Data Pull'!$A$2:$A$593,0),MATCH("Less Accumulated Depreciation",'Prior Year Data Pull'!$A$1:$CB$1,0)),"")</f>
        <v>148984000</v>
      </c>
      <c r="AI12" s="38">
        <f>IFERROR(INDEX('Prior Year Data Pull'!$A$2:$CB$593,MATCH(C12,'Prior Year Data Pull'!$A$2:$A$593,0),MATCH("Depreciation and Amortization Expense",'Prior Year Data Pull'!$A$1:$CB$1,0)),"")</f>
        <v>10870000</v>
      </c>
      <c r="AJ12" s="38">
        <f>IFERROR(INDEX('Prior Year Data Pull'!$A$2:$CB$593,MATCH(C12,'Prior Year Data Pull'!$A$2:$A$593,0),MATCH("Net Patient Accounts Receivable",'Prior Year Data Pull'!$A$1:$CB$1,0)),"")</f>
        <v>28406000</v>
      </c>
      <c r="AK12" s="14">
        <v>365</v>
      </c>
      <c r="AL12" s="38">
        <f>IFERROR(INDEX('Prior Year Data Pull'!$A$2:$CB$593,MATCH(C12,'Prior Year Data Pull'!$A$2:$A$593,0),MATCH("Estimated Third Party Settlements",'Prior Year Data Pull'!$A$1:$CB$1,0)),"")</f>
        <v>8525000</v>
      </c>
      <c r="AM12" s="38">
        <f>IFERROR(INDEX('Prior Year Data Pull'!$A$2:$CB$593,MATCH(C12,'Prior Year Data Pull'!$A$2:$A$593,0),MATCH("Current Liabilities due to Affiliates",'Prior Year Data Pull'!$A$1:$CB$1,0)),"")</f>
        <v>29690000</v>
      </c>
      <c r="AN12" s="38">
        <f>IFERROR(INDEX('Prior Year Data Pull'!$A$2:$CB$593,MATCH(C12,'Prior Year Data Pull'!$A$2:$A$593,0),MATCH("Short Term Investments",'Prior Year Data Pull'!$A$1:$CB$1,0)),"")</f>
        <v>-16649000</v>
      </c>
      <c r="AO12" s="38">
        <f>IFERROR(INDEX('Prior Year Data Pull'!$A$2:$CB$593,MATCH(C12,'Prior Year Data Pull'!$A$2:$A$593,0),MATCH("Cash and Cash Equivalents",'Prior Year Data Pull'!$A$1:$CB$1,0)),"")</f>
        <v>-22875000</v>
      </c>
      <c r="AP12" s="38">
        <f>IFERROR(INDEX('Prior Year Data Pull'!$A$2:$CB$593,MATCH(C12,'Prior Year Data Pull'!$A$2:$A$593,0),MATCH("Interest Expense",'Prior Year Data Pull'!$A$1:$CB$1,0)),"")</f>
        <v>1066000</v>
      </c>
      <c r="AQ12" s="38">
        <f>IFERROR(INDEX('Prior Year Data Pull'!$A$2:$CB$593,MATCH(C12,'Prior Year Data Pull'!$A$2:$A$593,0),MATCH("Long Term Debt Net of Current Portion",'Prior Year Data Pull'!$A$1:$CB$1,0)),"")</f>
        <v>35066000</v>
      </c>
      <c r="AR12" s="38">
        <f>IFERROR(INDEX('Prior Year Data Pull'!$A$2:$CB$593,MATCH(C12,'Prior Year Data Pull'!$A$2:$A$593,0),MATCH("Total Assets",'Prior Year Data Pull'!$A$1:$CB$1,0)),"")</f>
        <v>148233000</v>
      </c>
      <c r="AS12" s="38">
        <f>IFERROR(INDEX('Prior Year Data Pull'!$A$2:$CB$593,MATCH(C12,'Prior Year Data Pull'!$A$2:$A$593,0),MATCH("Long Term Debt Net of Current Portion",'Prior Year Data Pull'!$A$1:$CB$1,0)),"")</f>
        <v>35066000</v>
      </c>
      <c r="AT12" s="38">
        <f>IFERROR(INDEX('Prior Year Data Pull'!$A$2:$CB$593,MATCH(C12,'Prior Year Data Pull'!$A$2:$A$593,0),MATCH("Net Unrestricted Assets",'Prior Year Data Pull'!$A$1:$CB$1,0)),"")</f>
        <v>-3071000</v>
      </c>
      <c r="AU12" s="38">
        <f>IFERROR(INDEX('Prior Year Data Pull'!$A$2:$CB$593,MATCH(C12,'Prior Year Data Pull'!$A$2:$A$593,0),MATCH("Unrealized Gains/Losses",'Prior Year Data Pull'!$A$1:$CB$1,0)),"")</f>
        <v>167000</v>
      </c>
      <c r="AV12" s="38">
        <f>IFERROR(INDEX('Prior Year Data Pull'!$A$2:$CB$593,MATCH(C12,'Prior Year Data Pull'!$A$2:$A$593,0),MATCH("Salary and Benefit Expense",'Prior Year Data Pull'!$A$1:$CB$1,0)),"")</f>
        <v>133641000</v>
      </c>
    </row>
    <row r="13" spans="1:83" ht="34.200000000000003" x14ac:dyDescent="0.3">
      <c r="A13" s="46" t="str">
        <f>IFERROR(INDEX('Static Data Tab'!$N$2:$N$610,MATCH(D13,'Static Data Tab'!$D$2:$D$610,0)), "")</f>
        <v>Dana-Farber Cancer Institute and Subsid.</v>
      </c>
      <c r="B13" s="46" t="s">
        <v>129</v>
      </c>
      <c r="C13" s="46">
        <v>51</v>
      </c>
      <c r="D13" s="46">
        <v>13155</v>
      </c>
      <c r="E13" s="46" t="str">
        <f>IFERROR(INDEX('Prior Year Data Pull'!$A$1:$CB$593,MATCH(C13,'Prior Year Data Pull'!$A$1:$A$593,0),MATCH("Organization Type",'Prior Year Data Pull'!$A$1:$CB$1,0)),"")</f>
        <v>AcuteHospital</v>
      </c>
      <c r="F13" s="46" t="str">
        <f>IFERROR(INDEX('Static Data Tab'!$E$2:$E$610,MATCH(C13,'Static Data Tab'!$B$2:$B$610,0)), "-")</f>
        <v>Specialty Hospital</v>
      </c>
      <c r="G13" s="46" t="str">
        <f>IFERROR(INDEX('Static Data Tab'!$J$2:$J$610,MATCH(C13,'Static Data Tab'!$B$2:$B$610,0)), "")</f>
        <v>Metro Boston</v>
      </c>
      <c r="H13" s="46">
        <f>IFERROR(INDEX('Static Data Tab'!$F$2:$F$610,MATCH(C13,'Static Data Tab'!$B$2:$B$610,0)), "")</f>
        <v>0</v>
      </c>
      <c r="I13" s="46" t="str">
        <f>IFERROR(INDEX('Static Data Tab'!$G$2:$G$610,MATCH(C13,'Static Data Tab'!$B$2:$B$610,0)), "")</f>
        <v>x</v>
      </c>
      <c r="J13" s="46" t="str">
        <f>IFERROR(INDEX('Prior Year Data Pull'!$A$2:$CB$593,MATCH(C13,'Prior Year Data Pull'!$A$2:$A$593,0),MATCH("Quarter Range",'Prior Year Data Pull'!$A$1:$CB$1,0)),"")</f>
        <v xml:space="preserve">10/01/2024-09/30/2025
</v>
      </c>
      <c r="K13" s="45">
        <f t="shared" si="0"/>
        <v>-6.5456543002630735E-2</v>
      </c>
      <c r="L13" s="45">
        <f t="shared" si="1"/>
        <v>0.14578945161940421</v>
      </c>
      <c r="M13" s="45">
        <f t="shared" si="2"/>
        <v>8.033290861677353E-2</v>
      </c>
      <c r="N13" s="47">
        <f t="shared" si="3"/>
        <v>335476167.91000032</v>
      </c>
      <c r="O13" s="265">
        <f t="shared" si="4"/>
        <v>1.4875288540791263</v>
      </c>
      <c r="P13" s="47">
        <f>IFERROR(INDEX('Prior Year Data Pull'!$A$2:$CB$593,MATCH('Prior Year Data Table'!$C13,'Prior Year Data Pull'!$A$2:$A$593,0),MATCH("Total Net Assets or Equity",'Prior Year Data Pull'!$A$1:$CB$1,0)),"")</f>
        <v>4477621096.8789997</v>
      </c>
      <c r="Q13" s="47">
        <f>IFERROR(INDEX('Prior Year Data Pull'!$A$2:$CB$593,MATCH('Prior Year Data Table'!$C13,'Prior Year Data Pull'!$A$2:$A$593,0),MATCH("Total Operating Revenue",'Prior Year Data Pull'!$A$1:$CB$1,0)),"")</f>
        <v>3567246428.5599999</v>
      </c>
      <c r="R13" s="47">
        <f>IFERROR(INDEX('Prior Year Data Pull'!$A$2:$CB$593,MATCH('Prior Year Data Table'!$C13,'Prior Year Data Pull'!$A$2:$A$593,0),MATCH("Total Unrestricted Revenue Gains and Other Support",'Prior Year Data Pull'!$A$1:$CB$1,0)),"")</f>
        <v>4176073961.3000002</v>
      </c>
      <c r="S13" s="47" t="str">
        <f>IFERROR(INDEX('Prior Year TS Data Pull'!$K$2:$K$607,MATCH(C13,'Prior Year TS Data Pull'!$A$2:$A$607,0))+INDEX('Prior Year TS Data Pull'!$O$2:$O$119,MATCH(C13,'Prior Year TS Data Pull'!$A$2:$A$607,0))+INDEX('Prior Year TS Data Pull'!$S$2:$S$119,MATCH(C13,'Prior Year TS Data Pull'!$A$2:$A$607,0)),"")</f>
        <v/>
      </c>
      <c r="T13" s="47" t="e">
        <f>IF(INDEX('Prior Year TS Data Pull'!$A$1:$O$607,MATCH(C13,'Prior Year TS Data Pull'!$A$1:$A$607,0),MATCH("Temporary RN Staffing:
Line Reported on in Standardized Financials",'Prior Year TS Data Pull'!$A$1:$O$1,0))="66.1: Salary and Benefit Expense",'Prior Year Data Table'!$AV13-'Prior Year Data Table'!$S13,0)</f>
        <v>#VALUE!</v>
      </c>
      <c r="U13" s="47">
        <f>IFERROR(INDEX('Prior Year Data Pull'!$A$2:$CB$593,MATCH(C13,'Prior Year Data Pull'!$A$2:$A$593,0),MATCH("Total Expenses Including Nonrecurring Gains Losses",'Prior Year Data Pull'!$A$1:$CB$1,0)),"")</f>
        <v>3840597793.3899999</v>
      </c>
      <c r="V13" s="266">
        <f t="shared" si="5"/>
        <v>13.063237467698293</v>
      </c>
      <c r="W13" s="266">
        <f t="shared" si="6"/>
        <v>35.653409407645384</v>
      </c>
      <c r="X13" s="266">
        <f t="shared" si="7"/>
        <v>47.371920351869889</v>
      </c>
      <c r="Y13" s="45">
        <f t="shared" si="8"/>
        <v>0.57815647238845735</v>
      </c>
      <c r="Z13" s="266">
        <f t="shared" si="9"/>
        <v>10.982696813605182</v>
      </c>
      <c r="AA13" s="265">
        <f t="shared" si="10"/>
        <v>0.5916222259596623</v>
      </c>
      <c r="AB13" s="45">
        <f t="shared" si="11"/>
        <v>0.74805887917501024</v>
      </c>
      <c r="AC13" s="45">
        <f t="shared" si="12"/>
        <v>0.18316801201577065</v>
      </c>
      <c r="AD13" s="47">
        <f>IFERROR(INDEX('Prior Year Data Pull'!$A$2:$CB$593,MATCH(C13,'Prior Year Data Pull'!$A$2:$A$593,0),MATCH("Net Patient Service Revenue",'Prior Year Data Pull'!$A$1:$CB$1,0)),"")</f>
        <v>3033648379.5100002</v>
      </c>
      <c r="AE13" s="47">
        <f>IFERROR(INDEX('Prior Year Data Pull'!$A$2:$CB$593,MATCH(C13,'Prior Year Data Pull'!$A$2:$A$593,0),MATCH("Total Current Assets",'Prior Year Data Pull'!$A$1:$CB$1,0)),"")</f>
        <v>827203470.62800002</v>
      </c>
      <c r="AF13" s="47">
        <f>IFERROR(INDEX('Prior Year Data Pull'!$A$2:$CB$593,MATCH(C13,'Prior Year Data Pull'!$A$2:$A$593,0),MATCH("Total Current Liabilities",'Prior Year Data Pull'!$A$1:$CB$1,0)),"")</f>
        <v>556092386.61800003</v>
      </c>
      <c r="AG13" s="47">
        <f>IFERROR(INDEX('Prior Year Data Pull'!$A$2:$CB$593,MATCH(C13,'Prior Year Data Pull'!$A$2:$A$593,0),MATCH("Total Non Operating Revenue",'Prior Year Data Pull'!$A$1:$CB$1,0)),"")</f>
        <v>608827532.74000001</v>
      </c>
      <c r="AH13" s="47">
        <f>IFERROR(INDEX('Prior Year Data Pull'!$A$2:$CB$593,MATCH(C13,'Prior Year Data Pull'!$A$2:$A$593,0),MATCH("Less Accumulated Depreciation",'Prior Year Data Pull'!$A$1:$CB$1,0)),"")</f>
        <v>1294235552.0899999</v>
      </c>
      <c r="AI13" s="47">
        <f>IFERROR(INDEX('Prior Year Data Pull'!$A$2:$CB$593,MATCH(C13,'Prior Year Data Pull'!$A$2:$A$593,0),MATCH("Depreciation and Amortization Expense",'Prior Year Data Pull'!$A$1:$CB$1,0)),"")</f>
        <v>99074640.209999993</v>
      </c>
      <c r="AJ13" s="47">
        <f>IFERROR(INDEX('Prior Year Data Pull'!$A$2:$CB$593,MATCH(C13,'Prior Year Data Pull'!$A$2:$A$593,0),MATCH("Net Patient Accounts Receivable",'Prior Year Data Pull'!$A$1:$CB$1,0)),"")</f>
        <v>296328514.17400002</v>
      </c>
      <c r="AK13" s="46">
        <v>365</v>
      </c>
      <c r="AL13" s="47">
        <f>IFERROR(INDEX('Prior Year Data Pull'!$A$2:$CB$593,MATCH(C13,'Prior Year Data Pull'!$A$2:$A$593,0),MATCH("Estimated Third Party Settlements",'Prior Year Data Pull'!$A$1:$CB$1,0)),"")</f>
        <v>70494751.530000001</v>
      </c>
      <c r="AM13" s="47">
        <f>IFERROR(INDEX('Prior Year Data Pull'!$A$2:$CB$593,MATCH(C13,'Prior Year Data Pull'!$A$2:$A$593,0),MATCH("Current Liabilities due to Affiliates",'Prior Year Data Pull'!$A$1:$CB$1,0)),"")</f>
        <v>0</v>
      </c>
      <c r="AN13" s="47">
        <f>IFERROR(INDEX('Prior Year Data Pull'!$A$2:$CB$593,MATCH(C13,'Prior Year Data Pull'!$A$2:$A$593,0),MATCH("Short Term Investments",'Prior Year Data Pull'!$A$1:$CB$1,0)),"")</f>
        <v>0</v>
      </c>
      <c r="AO13" s="47">
        <f>IFERROR(INDEX('Prior Year Data Pull'!$A$2:$CB$593,MATCH(C13,'Prior Year Data Pull'!$A$2:$A$593,0),MATCH("Cash and Cash Equivalents",'Prior Year Data Pull'!$A$1:$CB$1,0)),"")</f>
        <v>112580861.404</v>
      </c>
      <c r="AP13" s="47">
        <f>IFERROR(INDEX('Prior Year Data Pull'!$A$2:$CB$593,MATCH(C13,'Prior Year Data Pull'!$A$2:$A$593,0),MATCH("Interest Expense",'Prior Year Data Pull'!$A$1:$CB$1,0)),"")</f>
        <v>17469439.390000001</v>
      </c>
      <c r="AQ13" s="47">
        <f>IFERROR(INDEX('Prior Year Data Pull'!$A$2:$CB$593,MATCH(C13,'Prior Year Data Pull'!$A$2:$A$593,0),MATCH("Long Term Debt Net of Current Portion",'Prior Year Data Pull'!$A$1:$CB$1,0)),"")</f>
        <v>529798108.51999998</v>
      </c>
      <c r="AR13" s="47">
        <f>IFERROR(INDEX('Prior Year Data Pull'!$A$2:$CB$593,MATCH(C13,'Prior Year Data Pull'!$A$2:$A$593,0),MATCH("Total Assets",'Prior Year Data Pull'!$A$1:$CB$1,0)),"")</f>
        <v>5985653297.5279999</v>
      </c>
      <c r="AS13" s="47">
        <f>IFERROR(INDEX('Prior Year Data Pull'!$A$2:$CB$593,MATCH(C13,'Prior Year Data Pull'!$A$2:$A$593,0),MATCH("Long Term Debt Net of Current Portion",'Prior Year Data Pull'!$A$1:$CB$1,0)),"")</f>
        <v>529798108.51999998</v>
      </c>
      <c r="AT13" s="47">
        <f>IFERROR(INDEX('Prior Year Data Pull'!$A$2:$CB$593,MATCH(C13,'Prior Year Data Pull'!$A$2:$A$593,0),MATCH("Net Unrestricted Assets",'Prior Year Data Pull'!$A$1:$CB$1,0)),"")</f>
        <v>2362618000</v>
      </c>
      <c r="AU13" s="47">
        <f>IFERROR(INDEX('Prior Year Data Pull'!$A$2:$CB$593,MATCH(C13,'Prior Year Data Pull'!$A$2:$A$593,0),MATCH("Unrealized Gains/Losses",'Prior Year Data Pull'!$A$1:$CB$1,0)),"")</f>
        <v>128244602.62</v>
      </c>
      <c r="AV13" s="47">
        <f>IFERROR(INDEX('Prior Year Data Pull'!$A$2:$CB$593,MATCH(C13,'Prior Year Data Pull'!$A$2:$A$593,0),MATCH("Salary and Benefit Expense",'Prior Year Data Pull'!$A$1:$CB$1,0)),"")</f>
        <v>1212183858.97</v>
      </c>
    </row>
    <row r="14" spans="1:83" ht="34.200000000000003" x14ac:dyDescent="0.3">
      <c r="A14" s="14" t="str">
        <f>IFERROR(INDEX('Static Data Tab'!$N$2:$N$610,MATCH(D14,'Static Data Tab'!$D$2:$D$610,0)), "")</f>
        <v>Beth Israel Lahey Health</v>
      </c>
      <c r="B14" s="14" t="s">
        <v>93</v>
      </c>
      <c r="C14" s="14">
        <v>53</v>
      </c>
      <c r="D14" s="14">
        <v>16665</v>
      </c>
      <c r="E14" s="14" t="str">
        <f>IFERROR(INDEX('Prior Year Data Pull'!$A$1:$CB$593,MATCH(C14,'Prior Year Data Pull'!$A$1:$A$593,0),MATCH("Organization Type",'Prior Year Data Pull'!$A$1:$CB$1,0)),"")</f>
        <v>AcuteHospital</v>
      </c>
      <c r="F14" s="14" t="str">
        <f>IFERROR(INDEX('Static Data Tab'!$E$2:$E$610,MATCH(C14,'Static Data Tab'!$B$2:$B$610,0)), "-")</f>
        <v>Community Hospital</v>
      </c>
      <c r="G14" s="14" t="str">
        <f>IFERROR(INDEX('Static Data Tab'!$J$2:$J$610,MATCH(C14,'Static Data Tab'!$B$2:$B$610,0)), "")</f>
        <v>Metro Boston</v>
      </c>
      <c r="H14" s="14">
        <f>IFERROR(INDEX('Static Data Tab'!$F$2:$F$610,MATCH(C14,'Static Data Tab'!$B$2:$B$610,0)), "")</f>
        <v>0</v>
      </c>
      <c r="I14" s="14">
        <f>IFERROR(INDEX('Static Data Tab'!$G$2:$G$610,MATCH(C14,'Static Data Tab'!$B$2:$B$610,0)), "")</f>
        <v>0</v>
      </c>
      <c r="J14" s="14" t="str">
        <f>IFERROR(INDEX('Prior Year Data Pull'!$A$2:$CB$593,MATCH(C14,'Prior Year Data Pull'!$A$2:$A$593,0),MATCH("Quarter Range",'Prior Year Data Pull'!$A$1:$CB$1,0)),"")</f>
        <v xml:space="preserve">10/01/2024-09/30/2025
</v>
      </c>
      <c r="K14" s="37">
        <f t="shared" si="0"/>
        <v>2.0092391924261436E-2</v>
      </c>
      <c r="L14" s="37">
        <f t="shared" si="1"/>
        <v>8.2411315159119421E-3</v>
      </c>
      <c r="M14" s="37">
        <f t="shared" si="2"/>
        <v>2.8333523440173376E-2</v>
      </c>
      <c r="N14" s="38">
        <f t="shared" si="3"/>
        <v>4968000</v>
      </c>
      <c r="O14" s="39">
        <f t="shared" si="4"/>
        <v>3.0425747290699059</v>
      </c>
      <c r="P14" s="38">
        <f>IFERROR(INDEX('Prior Year Data Pull'!$A$2:$CB$593,MATCH('Prior Year Data Table'!$C14,'Prior Year Data Pull'!$A$2:$A$593,0),MATCH("Total Net Assets or Equity",'Prior Year Data Pull'!$A$1:$CB$1,0)),"")</f>
        <v>116306000</v>
      </c>
      <c r="Q14" s="38">
        <f>IFERROR(INDEX('Prior Year Data Pull'!$A$2:$CB$593,MATCH('Prior Year Data Table'!$C14,'Prior Year Data Pull'!$A$2:$A$593,0),MATCH("Total Operating Revenue",'Prior Year Data Pull'!$A$1:$CB$1,0)),"")</f>
        <v>173895000</v>
      </c>
      <c r="R14" s="38">
        <f>IFERROR(INDEX('Prior Year Data Pull'!$A$2:$CB$593,MATCH('Prior Year Data Table'!$C14,'Prior Year Data Pull'!$A$2:$A$593,0),MATCH("Total Unrestricted Revenue Gains and Other Support",'Prior Year Data Pull'!$A$1:$CB$1,0)),"")</f>
        <v>175340000</v>
      </c>
      <c r="S14" s="38">
        <f>IFERROR(INDEX('Prior Year TS Data Pull'!$K$2:$K$607,MATCH(C14,'Prior Year TS Data Pull'!$A$2:$A$607,0))+INDEX('Prior Year TS Data Pull'!$O$2:$O$119,MATCH(C14,'Prior Year TS Data Pull'!$A$2:$A$607,0))+INDEX('Prior Year TS Data Pull'!$S$2:$S$119,MATCH(C14,'Prior Year TS Data Pull'!$A$2:$A$607,0)),"")</f>
        <v>6340989</v>
      </c>
      <c r="T14" s="38">
        <f>IF(INDEX('Prior Year TS Data Pull'!$A$1:$O$607,MATCH(C14,'Prior Year TS Data Pull'!$A$1:$A$607,0),MATCH("Temporary RN Staffing:
Line Reported on in Standardized Financials",'Prior Year TS Data Pull'!$A$1:$O$1,0))="66.1: Salary and Benefit Expense",'Prior Year Data Table'!$AV14-'Prior Year Data Table'!$S14,0)</f>
        <v>72519011</v>
      </c>
      <c r="U14" s="38">
        <f>IFERROR(INDEX('Prior Year Data Pull'!$A$2:$CB$593,MATCH(C14,'Prior Year Data Pull'!$A$2:$A$593,0),MATCH("Total Expenses Including Nonrecurring Gains Losses",'Prior Year Data Pull'!$A$1:$CB$1,0)),"")</f>
        <v>170372000</v>
      </c>
      <c r="V14" s="41">
        <f t="shared" si="5"/>
        <v>8.8863326361735027</v>
      </c>
      <c r="W14" s="41">
        <f t="shared" si="6"/>
        <v>32.988433410086017</v>
      </c>
      <c r="X14" s="41">
        <f t="shared" si="7"/>
        <v>31.28636862745098</v>
      </c>
      <c r="Y14" s="37">
        <f t="shared" si="8"/>
        <v>0.27698103355028814</v>
      </c>
      <c r="Z14" s="41">
        <f t="shared" si="9"/>
        <v>37.433254901960787</v>
      </c>
      <c r="AA14" s="39">
        <f t="shared" si="10"/>
        <v>0.3020002520569649</v>
      </c>
      <c r="AB14" s="37">
        <f t="shared" si="11"/>
        <v>0.56022465632014484</v>
      </c>
      <c r="AC14" s="37">
        <f t="shared" si="12"/>
        <v>0.39341868740599434</v>
      </c>
      <c r="AD14" s="38">
        <f>IFERROR(INDEX('Prior Year Data Pull'!$A$2:$CB$593,MATCH(C14,'Prior Year Data Pull'!$A$2:$A$593,0),MATCH("Net Patient Service Revenue",'Prior Year Data Pull'!$A$1:$CB$1,0)),"")</f>
        <v>167638000</v>
      </c>
      <c r="AE14" s="38">
        <f>IFERROR(INDEX('Prior Year Data Pull'!$A$2:$CB$593,MATCH(C14,'Prior Year Data Pull'!$A$2:$A$593,0),MATCH("Total Current Assets",'Prior Year Data Pull'!$A$1:$CB$1,0)),"")</f>
        <v>51097000</v>
      </c>
      <c r="AF14" s="38">
        <f>IFERROR(INDEX('Prior Year Data Pull'!$A$2:$CB$593,MATCH(C14,'Prior Year Data Pull'!$A$2:$A$593,0),MATCH("Total Current Liabilities",'Prior Year Data Pull'!$A$1:$CB$1,0)),"")</f>
        <v>16794000</v>
      </c>
      <c r="AG14" s="38">
        <f>IFERROR(INDEX('Prior Year Data Pull'!$A$2:$CB$593,MATCH(C14,'Prior Year Data Pull'!$A$2:$A$593,0),MATCH("Total Non Operating Revenue",'Prior Year Data Pull'!$A$1:$CB$1,0)),"")</f>
        <v>1445000</v>
      </c>
      <c r="AH14" s="38">
        <f>IFERROR(INDEX('Prior Year Data Pull'!$A$2:$CB$593,MATCH(C14,'Prior Year Data Pull'!$A$2:$A$593,0),MATCH("Less Accumulated Depreciation",'Prior Year Data Pull'!$A$1:$CB$1,0)),"")</f>
        <v>97723000</v>
      </c>
      <c r="AI14" s="38">
        <f>IFERROR(INDEX('Prior Year Data Pull'!$A$2:$CB$593,MATCH(C14,'Prior Year Data Pull'!$A$2:$A$593,0),MATCH("Depreciation and Amortization Expense",'Prior Year Data Pull'!$A$1:$CB$1,0)),"")</f>
        <v>10997000</v>
      </c>
      <c r="AJ14" s="38">
        <f>IFERROR(INDEX('Prior Year Data Pull'!$A$2:$CB$593,MATCH(C14,'Prior Year Data Pull'!$A$2:$A$593,0),MATCH("Net Patient Accounts Receivable",'Prior Year Data Pull'!$A$1:$CB$1,0)),"")</f>
        <v>15151000</v>
      </c>
      <c r="AK14" s="14">
        <v>365</v>
      </c>
      <c r="AL14" s="38">
        <f>IFERROR(INDEX('Prior Year Data Pull'!$A$2:$CB$593,MATCH(C14,'Prior Year Data Pull'!$A$2:$A$593,0),MATCH("Estimated Third Party Settlements",'Prior Year Data Pull'!$A$1:$CB$1,0)),"")</f>
        <v>3133000</v>
      </c>
      <c r="AM14" s="38">
        <f>IFERROR(INDEX('Prior Year Data Pull'!$A$2:$CB$593,MATCH(C14,'Prior Year Data Pull'!$A$2:$A$593,0),MATCH("Current Liabilities due to Affiliates",'Prior Year Data Pull'!$A$1:$CB$1,0)),"")</f>
        <v>0</v>
      </c>
      <c r="AN14" s="38">
        <f>IFERROR(INDEX('Prior Year Data Pull'!$A$2:$CB$593,MATCH(C14,'Prior Year Data Pull'!$A$2:$A$593,0),MATCH("Short Term Investments",'Prior Year Data Pull'!$A$1:$CB$1,0)),"")</f>
        <v>16304000</v>
      </c>
      <c r="AO14" s="38">
        <f>IFERROR(INDEX('Prior Year Data Pull'!$A$2:$CB$593,MATCH(C14,'Prior Year Data Pull'!$A$2:$A$593,0),MATCH("Cash and Cash Equivalents",'Prior Year Data Pull'!$A$1:$CB$1,0)),"")</f>
        <v>41000</v>
      </c>
      <c r="AP14" s="38">
        <f>IFERROR(INDEX('Prior Year Data Pull'!$A$2:$CB$593,MATCH(C14,'Prior Year Data Pull'!$A$2:$A$593,0),MATCH("Interest Expense",'Prior Year Data Pull'!$A$1:$CB$1,0)),"")</f>
        <v>1922000</v>
      </c>
      <c r="AQ14" s="38">
        <f>IFERROR(INDEX('Prior Year Data Pull'!$A$2:$CB$593,MATCH(C14,'Prior Year Data Pull'!$A$2:$A$593,0),MATCH("Long Term Debt Net of Current Portion",'Prior Year Data Pull'!$A$1:$CB$1,0)),"")</f>
        <v>53621000</v>
      </c>
      <c r="AR14" s="38">
        <f>IFERROR(INDEX('Prior Year Data Pull'!$A$2:$CB$593,MATCH(C14,'Prior Year Data Pull'!$A$2:$A$593,0),MATCH("Total Assets",'Prior Year Data Pull'!$A$1:$CB$1,0)),"")</f>
        <v>207606000</v>
      </c>
      <c r="AS14" s="38">
        <f>IFERROR(INDEX('Prior Year Data Pull'!$A$2:$CB$593,MATCH(C14,'Prior Year Data Pull'!$A$2:$A$593,0),MATCH("Long Term Debt Net of Current Portion",'Prior Year Data Pull'!$A$1:$CB$1,0)),"")</f>
        <v>53621000</v>
      </c>
      <c r="AT14" s="38">
        <f>IFERROR(INDEX('Prior Year Data Pull'!$A$2:$CB$593,MATCH(C14,'Prior Year Data Pull'!$A$2:$A$593,0),MATCH("Net Unrestricted Assets",'Prior Year Data Pull'!$A$1:$CB$1,0)),"")</f>
        <v>82674000</v>
      </c>
      <c r="AU14" s="38">
        <f>IFERROR(INDEX('Prior Year Data Pull'!$A$2:$CB$593,MATCH(C14,'Prior Year Data Pull'!$A$2:$A$593,0),MATCH("Unrealized Gains/Losses",'Prior Year Data Pull'!$A$1:$CB$1,0)),"")</f>
        <v>1113000</v>
      </c>
      <c r="AV14" s="38">
        <f>IFERROR(INDEX('Prior Year Data Pull'!$A$2:$CB$593,MATCH(C14,'Prior Year Data Pull'!$A$2:$A$593,0),MATCH("Salary and Benefit Expense",'Prior Year Data Pull'!$A$1:$CB$1,0)),"")</f>
        <v>78860000</v>
      </c>
    </row>
    <row r="15" spans="1:83" ht="34.200000000000003" x14ac:dyDescent="0.3">
      <c r="A15" s="46" t="str">
        <f>IFERROR(INDEX('Static Data Tab'!$N$2:$N$610,MATCH(D15,'Static Data Tab'!$D$2:$D$610,0)), "")</f>
        <v>Emerson Health System Inc. and Subsid.</v>
      </c>
      <c r="B15" s="46" t="s">
        <v>132</v>
      </c>
      <c r="C15" s="46">
        <v>57</v>
      </c>
      <c r="D15" s="46">
        <v>12776</v>
      </c>
      <c r="E15" s="46" t="str">
        <f>IFERROR(INDEX('Prior Year Data Pull'!$A$1:$CB$593,MATCH(C15,'Prior Year Data Pull'!$A$1:$A$593,0),MATCH("Organization Type",'Prior Year Data Pull'!$A$1:$CB$1,0)),"")</f>
        <v>AcuteHospital</v>
      </c>
      <c r="F15" s="46" t="str">
        <f>IFERROR(INDEX('Static Data Tab'!$E$2:$E$610,MATCH(C15,'Static Data Tab'!$B$2:$B$610,0)), "-")</f>
        <v>Community Hospital</v>
      </c>
      <c r="G15" s="46" t="str">
        <f>IFERROR(INDEX('Static Data Tab'!$J$2:$J$610,MATCH(C15,'Static Data Tab'!$B$2:$B$610,0)), "")</f>
        <v>Northeastern Massachusetts</v>
      </c>
      <c r="H15" s="46">
        <f>IFERROR(INDEX('Static Data Tab'!$F$2:$F$610,MATCH(C15,'Static Data Tab'!$B$2:$B$610,0)), "")</f>
        <v>0</v>
      </c>
      <c r="I15" s="46">
        <f>IFERROR(INDEX('Static Data Tab'!$G$2:$G$610,MATCH(C15,'Static Data Tab'!$B$2:$B$610,0)), "")</f>
        <v>0</v>
      </c>
      <c r="J15" s="46" t="str">
        <f>IFERROR(INDEX('Prior Year Data Pull'!$A$2:$CB$593,MATCH(C15,'Prior Year Data Pull'!$A$2:$A$593,0),MATCH("Quarter Range",'Prior Year Data Pull'!$A$1:$CB$1,0)),"")</f>
        <v xml:space="preserve">10/01/2024-09/30/2025
</v>
      </c>
      <c r="K15" s="45">
        <f t="shared" si="0"/>
        <v>1.3833284037834704E-2</v>
      </c>
      <c r="L15" s="45">
        <f t="shared" si="1"/>
        <v>-1.0174064962794036E-3</v>
      </c>
      <c r="M15" s="45">
        <f t="shared" si="2"/>
        <v>1.28158775415553E-2</v>
      </c>
      <c r="N15" s="47">
        <f t="shared" si="3"/>
        <v>5204770</v>
      </c>
      <c r="O15" s="265">
        <f t="shared" si="4"/>
        <v>0.9985448702858799</v>
      </c>
      <c r="P15" s="47">
        <f>IFERROR(INDEX('Prior Year Data Pull'!$A$2:$CB$593,MATCH('Prior Year Data Table'!$C15,'Prior Year Data Pull'!$A$2:$A$593,0),MATCH("Total Net Assets or Equity",'Prior Year Data Pull'!$A$1:$CB$1,0)),"")</f>
        <v>129654696</v>
      </c>
      <c r="Q15" s="47">
        <f>IFERROR(INDEX('Prior Year Data Pull'!$A$2:$CB$593,MATCH('Prior Year Data Table'!$C15,'Prior Year Data Pull'!$A$2:$A$593,0),MATCH("Total Operating Revenue",'Prior Year Data Pull'!$A$1:$CB$1,0)),"")</f>
        <v>406532081</v>
      </c>
      <c r="R15" s="47">
        <f>IFERROR(INDEX('Prior Year Data Pull'!$A$2:$CB$593,MATCH('Prior Year Data Table'!$C15,'Prior Year Data Pull'!$A$2:$A$593,0),MATCH("Total Unrestricted Revenue Gains and Other Support",'Prior Year Data Pull'!$A$1:$CB$1,0)),"")</f>
        <v>406118893</v>
      </c>
      <c r="S15" s="47">
        <f>IFERROR(INDEX('Prior Year TS Data Pull'!$K$2:$K$607,MATCH(C15,'Prior Year TS Data Pull'!$A$2:$A$607,0))+INDEX('Prior Year TS Data Pull'!$O$2:$O$119,MATCH(C15,'Prior Year TS Data Pull'!$A$2:$A$607,0))+INDEX('Prior Year TS Data Pull'!$S$2:$S$119,MATCH(C15,'Prior Year TS Data Pull'!$A$2:$A$607,0)),"")</f>
        <v>1123937</v>
      </c>
      <c r="T15" s="47">
        <f>IF(INDEX('Prior Year TS Data Pull'!$A$1:$O$607,MATCH(C15,'Prior Year TS Data Pull'!$A$1:$A$607,0),MATCH("Temporary RN Staffing:
Line Reported on in Standardized Financials",'Prior Year TS Data Pull'!$A$1:$O$1,0))="66.1: Salary and Benefit Expense",'Prior Year Data Table'!$AV15-'Prior Year Data Table'!$S15,0)</f>
        <v>218940786</v>
      </c>
      <c r="U15" s="47">
        <f>IFERROR(INDEX('Prior Year Data Pull'!$A$2:$CB$593,MATCH(C15,'Prior Year Data Pull'!$A$2:$A$593,0),MATCH("Total Expenses Including Nonrecurring Gains Losses",'Prior Year Data Pull'!$A$1:$CB$1,0)),"")</f>
        <v>400914123</v>
      </c>
      <c r="V15" s="266">
        <f t="shared" si="5"/>
        <v>21.062541656171746</v>
      </c>
      <c r="W15" s="266">
        <f t="shared" si="6"/>
        <v>39.44576585594659</v>
      </c>
      <c r="X15" s="266">
        <f t="shared" si="7"/>
        <v>72.26510770224256</v>
      </c>
      <c r="Y15" s="45">
        <f t="shared" si="8"/>
        <v>0.18275447722927501</v>
      </c>
      <c r="Z15" s="266">
        <f t="shared" si="9"/>
        <v>16.169160021543881</v>
      </c>
      <c r="AA15" s="265">
        <f t="shared" si="10"/>
        <v>0.20991580995982703</v>
      </c>
      <c r="AB15" s="45">
        <f t="shared" si="11"/>
        <v>0.41502422390888344</v>
      </c>
      <c r="AC15" s="45">
        <f t="shared" si="12"/>
        <v>0.46251691264573802</v>
      </c>
      <c r="AD15" s="47">
        <f>IFERROR(INDEX('Prior Year Data Pull'!$A$2:$CB$593,MATCH(C15,'Prior Year Data Pull'!$A$2:$A$593,0),MATCH("Net Patient Service Revenue",'Prior Year Data Pull'!$A$1:$CB$1,0)),"")</f>
        <v>382610648</v>
      </c>
      <c r="AE15" s="47">
        <f>IFERROR(INDEX('Prior Year Data Pull'!$A$2:$CB$593,MATCH(C15,'Prior Year Data Pull'!$A$2:$A$593,0),MATCH("Total Current Assets",'Prior Year Data Pull'!$A$1:$CB$1,0)),"")</f>
        <v>77006680</v>
      </c>
      <c r="AF15" s="47">
        <f>IFERROR(INDEX('Prior Year Data Pull'!$A$2:$CB$593,MATCH(C15,'Prior Year Data Pull'!$A$2:$A$593,0),MATCH("Total Current Liabilities",'Prior Year Data Pull'!$A$1:$CB$1,0)),"")</f>
        <v>77118898</v>
      </c>
      <c r="AG15" s="47">
        <f>IFERROR(INDEX('Prior Year Data Pull'!$A$2:$CB$593,MATCH(C15,'Prior Year Data Pull'!$A$2:$A$593,0),MATCH("Total Non Operating Revenue",'Prior Year Data Pull'!$A$1:$CB$1,0)),"")</f>
        <v>-413188</v>
      </c>
      <c r="AH15" s="47">
        <f>IFERROR(INDEX('Prior Year Data Pull'!$A$2:$CB$593,MATCH(C15,'Prior Year Data Pull'!$A$2:$A$593,0),MATCH("Less Accumulated Depreciation",'Prior Year Data Pull'!$A$1:$CB$1,0)),"")</f>
        <v>240078664</v>
      </c>
      <c r="AI15" s="47">
        <f>IFERROR(INDEX('Prior Year Data Pull'!$A$2:$CB$593,MATCH(C15,'Prior Year Data Pull'!$A$2:$A$593,0),MATCH("Depreciation and Amortization Expense",'Prior Year Data Pull'!$A$1:$CB$1,0)),"")</f>
        <v>11398371</v>
      </c>
      <c r="AJ15" s="47">
        <f>IFERROR(INDEX('Prior Year Data Pull'!$A$2:$CB$593,MATCH(C15,'Prior Year Data Pull'!$A$2:$A$593,0),MATCH("Net Patient Accounts Receivable",'Prior Year Data Pull'!$A$1:$CB$1,0)),"")</f>
        <v>41348959</v>
      </c>
      <c r="AK15" s="46">
        <v>365</v>
      </c>
      <c r="AL15" s="47">
        <f>IFERROR(INDEX('Prior Year Data Pull'!$A$2:$CB$593,MATCH(C15,'Prior Year Data Pull'!$A$2:$A$593,0),MATCH("Estimated Third Party Settlements",'Prior Year Data Pull'!$A$1:$CB$1,0)),"")</f>
        <v>0</v>
      </c>
      <c r="AM15" s="47">
        <f>IFERROR(INDEX('Prior Year Data Pull'!$A$2:$CB$593,MATCH(C15,'Prior Year Data Pull'!$A$2:$A$593,0),MATCH("Current Liabilities due to Affiliates",'Prior Year Data Pull'!$A$1:$CB$1,0)),"")</f>
        <v>0</v>
      </c>
      <c r="AN15" s="47">
        <f>IFERROR(INDEX('Prior Year Data Pull'!$A$2:$CB$593,MATCH(C15,'Prior Year Data Pull'!$A$2:$A$593,0),MATCH("Short Term Investments",'Prior Year Data Pull'!$A$1:$CB$1,0)),"")</f>
        <v>0</v>
      </c>
      <c r="AO15" s="47">
        <f>IFERROR(INDEX('Prior Year Data Pull'!$A$2:$CB$593,MATCH(C15,'Prior Year Data Pull'!$A$2:$A$593,0),MATCH("Cash and Cash Equivalents",'Prior Year Data Pull'!$A$1:$CB$1,0)),"")</f>
        <v>17255185</v>
      </c>
      <c r="AP15" s="47">
        <f>IFERROR(INDEX('Prior Year Data Pull'!$A$2:$CB$593,MATCH(C15,'Prior Year Data Pull'!$A$2:$A$593,0),MATCH("Interest Expense",'Prior Year Data Pull'!$A$1:$CB$1,0)),"")</f>
        <v>3123201</v>
      </c>
      <c r="AQ15" s="47">
        <f>IFERROR(INDEX('Prior Year Data Pull'!$A$2:$CB$593,MATCH(C15,'Prior Year Data Pull'!$A$2:$A$593,0),MATCH("Long Term Debt Net of Current Portion",'Prior Year Data Pull'!$A$1:$CB$1,0)),"")</f>
        <v>90849435</v>
      </c>
      <c r="AR15" s="47">
        <f>IFERROR(INDEX('Prior Year Data Pull'!$A$2:$CB$593,MATCH(C15,'Prior Year Data Pull'!$A$2:$A$593,0),MATCH("Total Assets",'Prior Year Data Pull'!$A$1:$CB$1,0)),"")</f>
        <v>312402719</v>
      </c>
      <c r="AS15" s="47">
        <f>IFERROR(INDEX('Prior Year Data Pull'!$A$2:$CB$593,MATCH(C15,'Prior Year Data Pull'!$A$2:$A$593,0),MATCH("Long Term Debt Net of Current Portion",'Prior Year Data Pull'!$A$1:$CB$1,0)),"")</f>
        <v>90849435</v>
      </c>
      <c r="AT15" s="47">
        <f>IFERROR(INDEX('Prior Year Data Pull'!$A$2:$CB$593,MATCH(C15,'Prior Year Data Pull'!$A$2:$A$593,0),MATCH("Net Unrestricted Assets",'Prior Year Data Pull'!$A$1:$CB$1,0)),"")</f>
        <v>105574593</v>
      </c>
      <c r="AU15" s="47">
        <f>IFERROR(INDEX('Prior Year Data Pull'!$A$2:$CB$593,MATCH(C15,'Prior Year Data Pull'!$A$2:$A$593,0),MATCH("Unrealized Gains/Losses",'Prior Year Data Pull'!$A$1:$CB$1,0)),"")</f>
        <v>0</v>
      </c>
      <c r="AV15" s="47">
        <f>IFERROR(INDEX('Prior Year Data Pull'!$A$2:$CB$593,MATCH(C15,'Prior Year Data Pull'!$A$2:$A$593,0),MATCH("Salary and Benefit Expense",'Prior Year Data Pull'!$A$1:$CB$1,0)),"")</f>
        <v>220064723</v>
      </c>
    </row>
    <row r="16" spans="1:83" ht="34.200000000000003" x14ac:dyDescent="0.3">
      <c r="A16" s="14" t="str">
        <f>IFERROR(INDEX('Static Data Tab'!$N$2:$N$610,MATCH(D16,'Static Data Tab'!$D$2:$D$610,0)), "")</f>
        <v>Mass General Brigham</v>
      </c>
      <c r="B16" s="14" t="s">
        <v>142</v>
      </c>
      <c r="C16" s="14">
        <v>59</v>
      </c>
      <c r="D16" s="14">
        <v>3791</v>
      </c>
      <c r="E16" s="14" t="str">
        <f>IFERROR(INDEX('Prior Year Data Pull'!$A$1:$CB$593,MATCH(C16,'Prior Year Data Pull'!$A$1:$A$593,0),MATCH("Organization Type",'Prior Year Data Pull'!$A$1:$CB$1,0)),"")</f>
        <v>AcuteHospital</v>
      </c>
      <c r="F16" s="14" t="str">
        <f>IFERROR(INDEX('Static Data Tab'!$E$2:$E$610,MATCH(C16,'Static Data Tab'!$B$2:$B$610,0)), "-")</f>
        <v>Community-High Public Payer Hospital</v>
      </c>
      <c r="G16" s="14" t="str">
        <f>IFERROR(INDEX('Static Data Tab'!$J$2:$J$610,MATCH(C16,'Static Data Tab'!$B$2:$B$610,0)), "")</f>
        <v>Metro Boston</v>
      </c>
      <c r="H16" s="14" t="str">
        <f>IFERROR(INDEX('Static Data Tab'!$F$2:$F$610,MATCH(C16,'Static Data Tab'!$B$2:$B$610,0)), "")</f>
        <v>x</v>
      </c>
      <c r="I16" s="14" t="str">
        <f>IFERROR(INDEX('Static Data Tab'!$G$2:$G$610,MATCH(C16,'Static Data Tab'!$B$2:$B$610,0)), "")</f>
        <v>x</v>
      </c>
      <c r="J16" s="14" t="str">
        <f>IFERROR(INDEX('Prior Year Data Pull'!$A$2:$CB$593,MATCH(C16,'Prior Year Data Pull'!$A$2:$A$593,0),MATCH("Quarter Range",'Prior Year Data Pull'!$A$1:$CB$1,0)),"")</f>
        <v xml:space="preserve">10/01/2024-09/30/2025
</v>
      </c>
      <c r="K16" s="37">
        <f t="shared" si="0"/>
        <v>-2.3954036050800778E-2</v>
      </c>
      <c r="L16" s="37">
        <f t="shared" si="1"/>
        <v>2.5898158953179041E-3</v>
      </c>
      <c r="M16" s="37">
        <f t="shared" si="2"/>
        <v>-2.1364220155482873E-2</v>
      </c>
      <c r="N16" s="38">
        <f t="shared" si="3"/>
        <v>-9099000</v>
      </c>
      <c r="O16" s="39">
        <f t="shared" si="4"/>
        <v>1.049512876875899</v>
      </c>
      <c r="P16" s="38">
        <f>IFERROR(INDEX('Prior Year Data Pull'!$A$2:$CB$593,MATCH('Prior Year Data Table'!$C16,'Prior Year Data Pull'!$A$2:$A$593,0),MATCH("Total Net Assets or Equity",'Prior Year Data Pull'!$A$1:$CB$1,0)),"")</f>
        <v>136076000</v>
      </c>
      <c r="Q16" s="38">
        <f>IFERROR(INDEX('Prior Year Data Pull'!$A$2:$CB$593,MATCH('Prior Year Data Table'!$C16,'Prior Year Data Pull'!$A$2:$A$593,0),MATCH("Total Operating Revenue",'Prior Year Data Pull'!$A$1:$CB$1,0)),"")</f>
        <v>424796000</v>
      </c>
      <c r="R16" s="38">
        <f>IFERROR(INDEX('Prior Year Data Pull'!$A$2:$CB$593,MATCH('Prior Year Data Table'!$C16,'Prior Year Data Pull'!$A$2:$A$593,0),MATCH("Total Unrestricted Revenue Gains and Other Support",'Prior Year Data Pull'!$A$1:$CB$1,0)),"")</f>
        <v>425899000</v>
      </c>
      <c r="S16" s="38">
        <f>IFERROR(INDEX('Prior Year TS Data Pull'!$K$2:$K$607,MATCH(C16,'Prior Year TS Data Pull'!$A$2:$A$607,0))+INDEX('Prior Year TS Data Pull'!$O$2:$O$119,MATCH(C16,'Prior Year TS Data Pull'!$A$2:$A$607,0))+INDEX('Prior Year TS Data Pull'!$S$2:$S$119,MATCH(C16,'Prior Year TS Data Pull'!$A$2:$A$607,0)),"")</f>
        <v>7180526</v>
      </c>
      <c r="T16" s="38">
        <f>IF(INDEX('Prior Year TS Data Pull'!$A$1:$O$607,MATCH(C16,'Prior Year TS Data Pull'!$A$1:$A$607,0),MATCH("Temporary RN Staffing:
Line Reported on in Standardized Financials",'Prior Year TS Data Pull'!$A$1:$O$1,0))="66.1: Salary and Benefit Expense",'Prior Year Data Table'!$AV16-'Prior Year Data Table'!$S16,0)</f>
        <v>0</v>
      </c>
      <c r="U16" s="38">
        <f>IFERROR(INDEX('Prior Year Data Pull'!$A$2:$CB$593,MATCH(C16,'Prior Year Data Pull'!$A$2:$A$593,0),MATCH("Total Expenses Including Nonrecurring Gains Losses",'Prior Year Data Pull'!$A$1:$CB$1,0)),"")</f>
        <v>434998000</v>
      </c>
      <c r="V16" s="41">
        <f t="shared" si="5"/>
        <v>9.5831168831168831</v>
      </c>
      <c r="W16" s="41">
        <f t="shared" si="6"/>
        <v>40.330075084864418</v>
      </c>
      <c r="X16" s="41">
        <f t="shared" si="7"/>
        <v>63.424530938989534</v>
      </c>
      <c r="Y16" s="37">
        <f t="shared" si="8"/>
        <v>3.731316183199454E-2</v>
      </c>
      <c r="Z16" s="41">
        <f t="shared" si="9"/>
        <v>11.250512075338934</v>
      </c>
      <c r="AA16" s="39">
        <f t="shared" si="10"/>
        <v>6.7903883286848321E-2</v>
      </c>
      <c r="AB16" s="37">
        <f t="shared" si="11"/>
        <v>0.29109656441192827</v>
      </c>
      <c r="AC16" s="37">
        <f t="shared" si="12"/>
        <v>0.66647479367081952</v>
      </c>
      <c r="AD16" s="38">
        <f>IFERROR(INDEX('Prior Year Data Pull'!$A$2:$CB$593,MATCH(C16,'Prior Year Data Pull'!$A$2:$A$593,0),MATCH("Net Patient Service Revenue",'Prior Year Data Pull'!$A$1:$CB$1,0)),"")</f>
        <v>415663000</v>
      </c>
      <c r="AE16" s="38">
        <f>IFERROR(INDEX('Prior Year Data Pull'!$A$2:$CB$593,MATCH(C16,'Prior Year Data Pull'!$A$2:$A$593,0),MATCH("Total Current Assets",'Prior Year Data Pull'!$A$1:$CB$1,0)),"")</f>
        <v>77347000</v>
      </c>
      <c r="AF16" s="38">
        <f>IFERROR(INDEX('Prior Year Data Pull'!$A$2:$CB$593,MATCH(C16,'Prior Year Data Pull'!$A$2:$A$593,0),MATCH("Total Current Liabilities",'Prior Year Data Pull'!$A$1:$CB$1,0)),"")</f>
        <v>73698000</v>
      </c>
      <c r="AG16" s="38">
        <f>IFERROR(INDEX('Prior Year Data Pull'!$A$2:$CB$593,MATCH(C16,'Prior Year Data Pull'!$A$2:$A$593,0),MATCH("Total Non Operating Revenue",'Prior Year Data Pull'!$A$1:$CB$1,0)),"")</f>
        <v>1103000</v>
      </c>
      <c r="AH16" s="38">
        <f>IFERROR(INDEX('Prior Year Data Pull'!$A$2:$CB$593,MATCH(C16,'Prior Year Data Pull'!$A$2:$A$593,0),MATCH("Less Accumulated Depreciation",'Prior Year Data Pull'!$A$1:$CB$1,0)),"")</f>
        <v>191854000</v>
      </c>
      <c r="AI16" s="38">
        <f>IFERROR(INDEX('Prior Year Data Pull'!$A$2:$CB$593,MATCH(C16,'Prior Year Data Pull'!$A$2:$A$593,0),MATCH("Depreciation and Amortization Expense",'Prior Year Data Pull'!$A$1:$CB$1,0)),"")</f>
        <v>20020000</v>
      </c>
      <c r="AJ16" s="38">
        <f>IFERROR(INDEX('Prior Year Data Pull'!$A$2:$CB$593,MATCH(C16,'Prior Year Data Pull'!$A$2:$A$593,0),MATCH("Net Patient Accounts Receivable",'Prior Year Data Pull'!$A$1:$CB$1,0)),"")</f>
        <v>45928000</v>
      </c>
      <c r="AK16" s="14">
        <v>365</v>
      </c>
      <c r="AL16" s="38">
        <f>IFERROR(INDEX('Prior Year Data Pull'!$A$2:$CB$593,MATCH(C16,'Prior Year Data Pull'!$A$2:$A$593,0),MATCH("Estimated Third Party Settlements",'Prior Year Data Pull'!$A$1:$CB$1,0)),"")</f>
        <v>1589000</v>
      </c>
      <c r="AM16" s="38">
        <f>IFERROR(INDEX('Prior Year Data Pull'!$A$2:$CB$593,MATCH(C16,'Prior Year Data Pull'!$A$2:$A$593,0),MATCH("Current Liabilities due to Affiliates",'Prior Year Data Pull'!$A$1:$CB$1,0)),"")</f>
        <v>21805000</v>
      </c>
      <c r="AN16" s="38">
        <f>IFERROR(INDEX('Prior Year Data Pull'!$A$2:$CB$593,MATCH(C16,'Prior Year Data Pull'!$A$2:$A$593,0),MATCH("Short Term Investments",'Prior Year Data Pull'!$A$1:$CB$1,0)),"")</f>
        <v>-5255000</v>
      </c>
      <c r="AO16" s="38">
        <f>IFERROR(INDEX('Prior Year Data Pull'!$A$2:$CB$593,MATCH(C16,'Prior Year Data Pull'!$A$2:$A$593,0),MATCH("Cash and Cash Equivalents",'Prior Year Data Pull'!$A$1:$CB$1,0)),"")</f>
        <v>18046000</v>
      </c>
      <c r="AP16" s="38">
        <f>IFERROR(INDEX('Prior Year Data Pull'!$A$2:$CB$593,MATCH(C16,'Prior Year Data Pull'!$A$2:$A$593,0),MATCH("Interest Expense",'Prior Year Data Pull'!$A$1:$CB$1,0)),"")</f>
        <v>7449000</v>
      </c>
      <c r="AQ16" s="38">
        <f>IFERROR(INDEX('Prior Year Data Pull'!$A$2:$CB$593,MATCH(C16,'Prior Year Data Pull'!$A$2:$A$593,0),MATCH("Long Term Debt Net of Current Portion",'Prior Year Data Pull'!$A$1:$CB$1,0)),"")</f>
        <v>253567000</v>
      </c>
      <c r="AR16" s="38">
        <f>IFERROR(INDEX('Prior Year Data Pull'!$A$2:$CB$593,MATCH(C16,'Prior Year Data Pull'!$A$2:$A$593,0),MATCH("Total Assets",'Prior Year Data Pull'!$A$1:$CB$1,0)),"")</f>
        <v>467460000</v>
      </c>
      <c r="AS16" s="38">
        <f>IFERROR(INDEX('Prior Year Data Pull'!$A$2:$CB$593,MATCH(C16,'Prior Year Data Pull'!$A$2:$A$593,0),MATCH("Long Term Debt Net of Current Portion",'Prior Year Data Pull'!$A$1:$CB$1,0)),"")</f>
        <v>253567000</v>
      </c>
      <c r="AT16" s="38">
        <f>IFERROR(INDEX('Prior Year Data Pull'!$A$2:$CB$593,MATCH(C16,'Prior Year Data Pull'!$A$2:$A$593,0),MATCH("Net Unrestricted Assets",'Prior Year Data Pull'!$A$1:$CB$1,0)),"")</f>
        <v>126893000</v>
      </c>
      <c r="AU16" s="38">
        <f>IFERROR(INDEX('Prior Year Data Pull'!$A$2:$CB$593,MATCH(C16,'Prior Year Data Pull'!$A$2:$A$593,0),MATCH("Unrealized Gains/Losses",'Prior Year Data Pull'!$A$1:$CB$1,0)),"")</f>
        <v>646000</v>
      </c>
      <c r="AV16" s="38">
        <f>IFERROR(INDEX('Prior Year Data Pull'!$A$2:$CB$593,MATCH(C16,'Prior Year Data Pull'!$A$2:$A$593,0),MATCH("Salary and Benefit Expense",'Prior Year Data Pull'!$A$1:$CB$1,0)),"")</f>
        <v>209988000</v>
      </c>
    </row>
    <row r="17" spans="1:48" ht="34.200000000000003" x14ac:dyDescent="0.3">
      <c r="A17" s="46" t="str">
        <f>IFERROR(INDEX('Static Data Tab'!$N$2:$N$610,MATCH(D17,'Static Data Tab'!$D$2:$D$610,0)), "")</f>
        <v>UMass Memorial Health Care</v>
      </c>
      <c r="B17" s="46" t="s">
        <v>198</v>
      </c>
      <c r="C17" s="46">
        <v>68</v>
      </c>
      <c r="D17" s="46">
        <v>6755</v>
      </c>
      <c r="E17" s="46" t="str">
        <f>IFERROR(INDEX('Prior Year Data Pull'!$A$1:$CB$593,MATCH(C17,'Prior Year Data Pull'!$A$1:$A$593,0),MATCH("Organization Type",'Prior Year Data Pull'!$A$1:$CB$1,0)),"")</f>
        <v>AcuteHospital</v>
      </c>
      <c r="F17" s="46" t="str">
        <f>IFERROR(INDEX('Static Data Tab'!$E$2:$E$610,MATCH(C17,'Static Data Tab'!$B$2:$B$610,0)), "-")</f>
        <v>Community-High Public Payer Hospital</v>
      </c>
      <c r="G17" s="46" t="str">
        <f>IFERROR(INDEX('Static Data Tab'!$J$2:$J$610,MATCH(C17,'Static Data Tab'!$B$2:$B$610,0)), "")</f>
        <v>Central Massachusetts</v>
      </c>
      <c r="H17" s="46" t="str">
        <f>IFERROR(INDEX('Static Data Tab'!$F$2:$F$610,MATCH(C17,'Static Data Tab'!$B$2:$B$610,0)), "")</f>
        <v>x</v>
      </c>
      <c r="I17" s="46">
        <f>IFERROR(INDEX('Static Data Tab'!$G$2:$G$610,MATCH(C17,'Static Data Tab'!$B$2:$B$610,0)), "")</f>
        <v>0</v>
      </c>
      <c r="J17" s="46" t="str">
        <f>IFERROR(INDEX('Prior Year Data Pull'!$A$2:$CB$593,MATCH(C17,'Prior Year Data Pull'!$A$2:$A$593,0),MATCH("Quarter Range",'Prior Year Data Pull'!$A$1:$CB$1,0)),"")</f>
        <v xml:space="preserve">10/01/2024-09/30/2025
</v>
      </c>
      <c r="K17" s="45">
        <f t="shared" si="0"/>
        <v>-3.2079496055021826E-2</v>
      </c>
      <c r="L17" s="45">
        <f t="shared" si="1"/>
        <v>6.0204976185526948E-2</v>
      </c>
      <c r="M17" s="45">
        <f t="shared" si="2"/>
        <v>2.8125480130505118E-2</v>
      </c>
      <c r="N17" s="47">
        <f t="shared" si="3"/>
        <v>6224000</v>
      </c>
      <c r="O17" s="265">
        <f t="shared" si="4"/>
        <v>0.95786717744292638</v>
      </c>
      <c r="P17" s="47">
        <f>IFERROR(INDEX('Prior Year Data Pull'!$A$2:$CB$593,MATCH('Prior Year Data Table'!$C17,'Prior Year Data Pull'!$A$2:$A$593,0),MATCH("Total Net Assets or Equity",'Prior Year Data Pull'!$A$1:$CB$1,0)),"")</f>
        <v>82134000</v>
      </c>
      <c r="Q17" s="47">
        <f>IFERROR(INDEX('Prior Year Data Pull'!$A$2:$CB$593,MATCH('Prior Year Data Table'!$C17,'Prior Year Data Pull'!$A$2:$A$593,0),MATCH("Total Operating Revenue",'Prior Year Data Pull'!$A$1:$CB$1,0)),"")</f>
        <v>207971000</v>
      </c>
      <c r="R17" s="47">
        <f>IFERROR(INDEX('Prior Year Data Pull'!$A$2:$CB$593,MATCH('Prior Year Data Table'!$C17,'Prior Year Data Pull'!$A$2:$A$593,0),MATCH("Total Unrestricted Revenue Gains and Other Support",'Prior Year Data Pull'!$A$1:$CB$1,0)),"")</f>
        <v>221294000</v>
      </c>
      <c r="S17" s="47">
        <f>IFERROR(INDEX('Prior Year TS Data Pull'!$K$2:$K$607,MATCH(C17,'Prior Year TS Data Pull'!$A$2:$A$607,0))+INDEX('Prior Year TS Data Pull'!$O$2:$O$119,MATCH(C17,'Prior Year TS Data Pull'!$A$2:$A$607,0))+INDEX('Prior Year TS Data Pull'!$S$2:$S$119,MATCH(C17,'Prior Year TS Data Pull'!$A$2:$A$607,0)),"")</f>
        <v>694481.47</v>
      </c>
      <c r="T17" s="47">
        <f>IF(INDEX('Prior Year TS Data Pull'!$A$1:$O$607,MATCH(C17,'Prior Year TS Data Pull'!$A$1:$A$607,0),MATCH("Temporary RN Staffing:
Line Reported on in Standardized Financials",'Prior Year TS Data Pull'!$A$1:$O$1,0))="66.1: Salary and Benefit Expense",'Prior Year Data Table'!$AV17-'Prior Year Data Table'!$S17,0)</f>
        <v>0</v>
      </c>
      <c r="U17" s="47">
        <f>IFERROR(INDEX('Prior Year Data Pull'!$A$2:$CB$593,MATCH(C17,'Prior Year Data Pull'!$A$2:$A$593,0),MATCH("Total Expenses Including Nonrecurring Gains Losses",'Prior Year Data Pull'!$A$1:$CB$1,0)),"")</f>
        <v>215070000</v>
      </c>
      <c r="V17" s="266">
        <f t="shared" si="5"/>
        <v>9.0094839609483959</v>
      </c>
      <c r="W17" s="266">
        <f t="shared" si="6"/>
        <v>34.942544734685043</v>
      </c>
      <c r="X17" s="266">
        <f t="shared" si="7"/>
        <v>560.83944203944202</v>
      </c>
      <c r="Y17" s="45">
        <f t="shared" si="8"/>
        <v>4.436524314100887E-2</v>
      </c>
      <c r="Z17" s="266">
        <f t="shared" si="9"/>
        <v>1.3729196729196729</v>
      </c>
      <c r="AA17" s="265">
        <f t="shared" si="10"/>
        <v>6.1161191749427042</v>
      </c>
      <c r="AB17" s="45">
        <f t="shared" si="11"/>
        <v>0.18772627537026879</v>
      </c>
      <c r="AC17" s="45">
        <f t="shared" si="12"/>
        <v>0</v>
      </c>
      <c r="AD17" s="47">
        <f>IFERROR(INDEX('Prior Year Data Pull'!$A$2:$CB$593,MATCH(C17,'Prior Year Data Pull'!$A$2:$A$593,0),MATCH("Net Patient Service Revenue",'Prior Year Data Pull'!$A$1:$CB$1,0)),"")</f>
        <v>193977000</v>
      </c>
      <c r="AE17" s="47">
        <f>IFERROR(INDEX('Prior Year Data Pull'!$A$2:$CB$593,MATCH(C17,'Prior Year Data Pull'!$A$2:$A$593,0),MATCH("Total Current Assets",'Prior Year Data Pull'!$A$1:$CB$1,0)),"")</f>
        <v>308052000</v>
      </c>
      <c r="AF17" s="47">
        <f>IFERROR(INDEX('Prior Year Data Pull'!$A$2:$CB$593,MATCH(C17,'Prior Year Data Pull'!$A$2:$A$593,0),MATCH("Total Current Liabilities",'Prior Year Data Pull'!$A$1:$CB$1,0)),"")</f>
        <v>321602000</v>
      </c>
      <c r="AG17" s="47">
        <f>IFERROR(INDEX('Prior Year Data Pull'!$A$2:$CB$593,MATCH(C17,'Prior Year Data Pull'!$A$2:$A$593,0),MATCH("Total Non Operating Revenue",'Prior Year Data Pull'!$A$1:$CB$1,0)),"")</f>
        <v>13323000</v>
      </c>
      <c r="AH17" s="47">
        <f>IFERROR(INDEX('Prior Year Data Pull'!$A$2:$CB$593,MATCH(C17,'Prior Year Data Pull'!$A$2:$A$593,0),MATCH("Less Accumulated Depreciation",'Prior Year Data Pull'!$A$1:$CB$1,0)),"")</f>
        <v>64598000</v>
      </c>
      <c r="AI17" s="47">
        <f>IFERROR(INDEX('Prior Year Data Pull'!$A$2:$CB$593,MATCH(C17,'Prior Year Data Pull'!$A$2:$A$593,0),MATCH("Depreciation and Amortization Expense",'Prior Year Data Pull'!$A$1:$CB$1,0)),"")</f>
        <v>7170000</v>
      </c>
      <c r="AJ17" s="47">
        <f>IFERROR(INDEX('Prior Year Data Pull'!$A$2:$CB$593,MATCH(C17,'Prior Year Data Pull'!$A$2:$A$593,0),MATCH("Net Patient Accounts Receivable",'Prior Year Data Pull'!$A$1:$CB$1,0)),"")</f>
        <v>18570000</v>
      </c>
      <c r="AK17" s="46">
        <v>365</v>
      </c>
      <c r="AL17" s="47">
        <f>IFERROR(INDEX('Prior Year Data Pull'!$A$2:$CB$593,MATCH(C17,'Prior Year Data Pull'!$A$2:$A$593,0),MATCH("Estimated Third Party Settlements",'Prior Year Data Pull'!$A$1:$CB$1,0)),"")</f>
        <v>2154000</v>
      </c>
      <c r="AM17" s="47">
        <f>IFERROR(INDEX('Prior Year Data Pull'!$A$2:$CB$593,MATCH(C17,'Prior Year Data Pull'!$A$2:$A$593,0),MATCH("Current Liabilities due to Affiliates",'Prior Year Data Pull'!$A$1:$CB$1,0)),"")</f>
        <v>301903000</v>
      </c>
      <c r="AN17" s="47">
        <f>IFERROR(INDEX('Prior Year Data Pull'!$A$2:$CB$593,MATCH(C17,'Prior Year Data Pull'!$A$2:$A$593,0),MATCH("Short Term Investments",'Prior Year Data Pull'!$A$1:$CB$1,0)),"")</f>
        <v>0</v>
      </c>
      <c r="AO17" s="47">
        <f>IFERROR(INDEX('Prior Year Data Pull'!$A$2:$CB$593,MATCH(C17,'Prior Year Data Pull'!$A$2:$A$593,0),MATCH("Cash and Cash Equivalents",'Prior Year Data Pull'!$A$1:$CB$1,0)),"")</f>
        <v>782000</v>
      </c>
      <c r="AP17" s="47">
        <f>IFERROR(INDEX('Prior Year Data Pull'!$A$2:$CB$593,MATCH(C17,'Prior Year Data Pull'!$A$2:$A$593,0),MATCH("Interest Expense",'Prior Year Data Pull'!$A$1:$CB$1,0)),"")</f>
        <v>2618000</v>
      </c>
      <c r="AQ17" s="47">
        <f>IFERROR(INDEX('Prior Year Data Pull'!$A$2:$CB$593,MATCH(C17,'Prior Year Data Pull'!$A$2:$A$593,0),MATCH("Long Term Debt Net of Current Portion",'Prior Year Data Pull'!$A$1:$CB$1,0)),"")</f>
        <v>0</v>
      </c>
      <c r="AR17" s="47">
        <f>IFERROR(INDEX('Prior Year Data Pull'!$A$2:$CB$593,MATCH(C17,'Prior Year Data Pull'!$A$2:$A$593,0),MATCH("Total Assets",'Prior Year Data Pull'!$A$1:$CB$1,0)),"")</f>
        <v>437520000</v>
      </c>
      <c r="AS17" s="47">
        <f>IFERROR(INDEX('Prior Year Data Pull'!$A$2:$CB$593,MATCH(C17,'Prior Year Data Pull'!$A$2:$A$593,0),MATCH("Long Term Debt Net of Current Portion",'Prior Year Data Pull'!$A$1:$CB$1,0)),"")</f>
        <v>0</v>
      </c>
      <c r="AT17" s="47">
        <f>IFERROR(INDEX('Prior Year Data Pull'!$A$2:$CB$593,MATCH(C17,'Prior Year Data Pull'!$A$2:$A$593,0),MATCH("Net Unrestricted Assets",'Prior Year Data Pull'!$A$1:$CB$1,0)),"")</f>
        <v>73342000</v>
      </c>
      <c r="AU17" s="47">
        <f>IFERROR(INDEX('Prior Year Data Pull'!$A$2:$CB$593,MATCH(C17,'Prior Year Data Pull'!$A$2:$A$593,0),MATCH("Unrealized Gains/Losses",'Prior Year Data Pull'!$A$1:$CB$1,0)),"")</f>
        <v>0</v>
      </c>
      <c r="AV17" s="47">
        <f>IFERROR(INDEX('Prior Year Data Pull'!$A$2:$CB$593,MATCH(C17,'Prior Year Data Pull'!$A$2:$A$593,0),MATCH("Salary and Benefit Expense",'Prior Year Data Pull'!$A$1:$CB$1,0)),"")</f>
        <v>102240000</v>
      </c>
    </row>
    <row r="18" spans="1:48" ht="34.200000000000003" x14ac:dyDescent="0.3">
      <c r="A18" s="14" t="str">
        <f>IFERROR(INDEX('Static Data Tab'!$N$2:$N$610,MATCH(D18,'Static Data Tab'!$D$2:$D$610,0)), "")</f>
        <v>Heywood Healthcare</v>
      </c>
      <c r="B18" s="14" t="s">
        <v>136</v>
      </c>
      <c r="C18" s="14">
        <v>73</v>
      </c>
      <c r="D18" s="14">
        <v>12807</v>
      </c>
      <c r="E18" s="14" t="str">
        <f>IFERROR(INDEX('Prior Year Data Pull'!$A$1:$CB$593,MATCH(C18,'Prior Year Data Pull'!$A$1:$A$593,0),MATCH("Organization Type",'Prior Year Data Pull'!$A$1:$CB$1,0)),"")</f>
        <v>AcuteHospital</v>
      </c>
      <c r="F18" s="14" t="str">
        <f>IFERROR(INDEX('Static Data Tab'!$E$2:$E$610,MATCH(C18,'Static Data Tab'!$B$2:$B$610,0)), "-")</f>
        <v>Community-High Public Payer Hospital</v>
      </c>
      <c r="G18" s="14" t="str">
        <f>IFERROR(INDEX('Static Data Tab'!$J$2:$J$610,MATCH(C18,'Static Data Tab'!$B$2:$B$610,0)), "")</f>
        <v>Central Massachusetts</v>
      </c>
      <c r="H18" s="14" t="str">
        <f>IFERROR(INDEX('Static Data Tab'!$F$2:$F$610,MATCH(C18,'Static Data Tab'!$B$2:$B$610,0)), "")</f>
        <v>x</v>
      </c>
      <c r="I18" s="14">
        <f>IFERROR(INDEX('Static Data Tab'!$G$2:$G$610,MATCH(C18,'Static Data Tab'!$B$2:$B$610,0)), "")</f>
        <v>0</v>
      </c>
      <c r="J18" s="14" t="str">
        <f>IFERROR(INDEX('Prior Year Data Pull'!$A$2:$CB$593,MATCH(C18,'Prior Year Data Pull'!$A$2:$A$593,0),MATCH("Quarter Range",'Prior Year Data Pull'!$A$1:$CB$1,0)),"")</f>
        <v xml:space="preserve">10/01/2024-09/30/2025
</v>
      </c>
      <c r="K18" s="37">
        <f t="shared" si="0"/>
        <v>2.2417457019673924E-2</v>
      </c>
      <c r="L18" s="37">
        <f t="shared" si="1"/>
        <v>2.0079563642316699E-4</v>
      </c>
      <c r="M18" s="37">
        <f t="shared" si="2"/>
        <v>2.2618252656097092E-2</v>
      </c>
      <c r="N18" s="38">
        <f t="shared" si="3"/>
        <v>4669847</v>
      </c>
      <c r="O18" s="39">
        <f t="shared" si="4"/>
        <v>0.96555123133976384</v>
      </c>
      <c r="P18" s="38">
        <f>IFERROR(INDEX('Prior Year Data Pull'!$A$2:$CB$593,MATCH('Prior Year Data Table'!$C18,'Prior Year Data Pull'!$A$2:$A$593,0),MATCH("Total Net Assets or Equity",'Prior Year Data Pull'!$A$1:$CB$1,0)),"")</f>
        <v>11121283</v>
      </c>
      <c r="Q18" s="38">
        <f>IFERROR(INDEX('Prior Year Data Pull'!$A$2:$CB$593,MATCH('Prior Year Data Table'!$C18,'Prior Year Data Pull'!$A$2:$A$593,0),MATCH("Total Operating Revenue",'Prior Year Data Pull'!$A$1:$CB$1,0)),"")</f>
        <v>206422193</v>
      </c>
      <c r="R18" s="38">
        <f>IFERROR(INDEX('Prior Year Data Pull'!$A$2:$CB$593,MATCH('Prior Year Data Table'!$C18,'Prior Year Data Pull'!$A$2:$A$593,0),MATCH("Total Unrestricted Revenue Gains and Other Support",'Prior Year Data Pull'!$A$1:$CB$1,0)),"")</f>
        <v>206463650</v>
      </c>
      <c r="S18" s="38">
        <f>IFERROR(INDEX('Prior Year TS Data Pull'!$K$2:$K$607,MATCH(C18,'Prior Year TS Data Pull'!$A$2:$A$607,0))+INDEX('Prior Year TS Data Pull'!$O$2:$O$119,MATCH(C18,'Prior Year TS Data Pull'!$A$2:$A$607,0))+INDEX('Prior Year TS Data Pull'!$S$2:$S$119,MATCH(C18,'Prior Year TS Data Pull'!$A$2:$A$607,0)),"")</f>
        <v>1377639.92</v>
      </c>
      <c r="T18" s="38">
        <f>IF(INDEX('Prior Year TS Data Pull'!$A$1:$O$607,MATCH(C18,'Prior Year TS Data Pull'!$A$1:$A$607,0),MATCH("Temporary RN Staffing:
Line Reported on in Standardized Financials",'Prior Year TS Data Pull'!$A$1:$O$1,0))="66.1: Salary and Benefit Expense",'Prior Year Data Table'!$AV18-'Prior Year Data Table'!$S18,0)</f>
        <v>0</v>
      </c>
      <c r="U18" s="38">
        <f>IFERROR(INDEX('Prior Year Data Pull'!$A$2:$CB$593,MATCH(C18,'Prior Year Data Pull'!$A$2:$A$593,0),MATCH("Total Expenses Including Nonrecurring Gains Losses",'Prior Year Data Pull'!$A$1:$CB$1,0)),"")</f>
        <v>201793803</v>
      </c>
      <c r="V18" s="41">
        <f t="shared" si="5"/>
        <v>17.867870300319879</v>
      </c>
      <c r="W18" s="41">
        <f t="shared" si="6"/>
        <v>42.580125135614828</v>
      </c>
      <c r="X18" s="41">
        <f t="shared" si="7"/>
        <v>57.922904020780145</v>
      </c>
      <c r="Y18" s="37">
        <f t="shared" si="8"/>
        <v>0.2106525366185894</v>
      </c>
      <c r="Z18" s="41">
        <f t="shared" si="9"/>
        <v>10.759848605290598</v>
      </c>
      <c r="AA18" s="39">
        <f t="shared" si="10"/>
        <v>0.22732569355089816</v>
      </c>
      <c r="AB18" s="37">
        <f t="shared" si="11"/>
        <v>0.11965540550492743</v>
      </c>
      <c r="AC18" s="37">
        <f t="shared" si="12"/>
        <v>0.8908188744344645</v>
      </c>
      <c r="AD18" s="38">
        <f>IFERROR(INDEX('Prior Year Data Pull'!$A$2:$CB$593,MATCH(C18,'Prior Year Data Pull'!$A$2:$A$593,0),MATCH("Net Patient Service Revenue",'Prior Year Data Pull'!$A$1:$CB$1,0)),"")</f>
        <v>170540897</v>
      </c>
      <c r="AE18" s="38">
        <f>IFERROR(INDEX('Prior Year Data Pull'!$A$2:$CB$593,MATCH(C18,'Prior Year Data Pull'!$A$2:$A$593,0),MATCH("Total Current Assets",'Prior Year Data Pull'!$A$1:$CB$1,0)),"")</f>
        <v>32253647</v>
      </c>
      <c r="AF18" s="38">
        <f>IFERROR(INDEX('Prior Year Data Pull'!$A$2:$CB$593,MATCH(C18,'Prior Year Data Pull'!$A$2:$A$593,0),MATCH("Total Current Liabilities",'Prior Year Data Pull'!$A$1:$CB$1,0)),"")</f>
        <v>33404387</v>
      </c>
      <c r="AG18" s="38">
        <f>IFERROR(INDEX('Prior Year Data Pull'!$A$2:$CB$593,MATCH(C18,'Prior Year Data Pull'!$A$2:$A$593,0),MATCH("Total Non Operating Revenue",'Prior Year Data Pull'!$A$1:$CB$1,0)),"")</f>
        <v>41457</v>
      </c>
      <c r="AH18" s="38">
        <f>IFERROR(INDEX('Prior Year Data Pull'!$A$2:$CB$593,MATCH(C18,'Prior Year Data Pull'!$A$2:$A$593,0),MATCH("Less Accumulated Depreciation",'Prior Year Data Pull'!$A$1:$CB$1,0)),"")</f>
        <v>90573932</v>
      </c>
      <c r="AI18" s="38">
        <f>IFERROR(INDEX('Prior Year Data Pull'!$A$2:$CB$593,MATCH(C18,'Prior Year Data Pull'!$A$2:$A$593,0),MATCH("Depreciation and Amortization Expense",'Prior Year Data Pull'!$A$1:$CB$1,0)),"")</f>
        <v>5069095</v>
      </c>
      <c r="AJ18" s="38">
        <f>IFERROR(INDEX('Prior Year Data Pull'!$A$2:$CB$593,MATCH(C18,'Prior Year Data Pull'!$A$2:$A$593,0),MATCH("Net Patient Accounts Receivable",'Prior Year Data Pull'!$A$1:$CB$1,0)),"")</f>
        <v>19894939</v>
      </c>
      <c r="AK18" s="14">
        <v>365</v>
      </c>
      <c r="AL18" s="38">
        <f>IFERROR(INDEX('Prior Year Data Pull'!$A$2:$CB$593,MATCH(C18,'Prior Year Data Pull'!$A$2:$A$593,0),MATCH("Estimated Third Party Settlements",'Prior Year Data Pull'!$A$1:$CB$1,0)),"")</f>
        <v>2185575</v>
      </c>
      <c r="AM18" s="38">
        <f>IFERROR(INDEX('Prior Year Data Pull'!$A$2:$CB$593,MATCH(C18,'Prior Year Data Pull'!$A$2:$A$593,0),MATCH("Current Liabilities due to Affiliates",'Prior Year Data Pull'!$A$1:$CB$1,0)),"")</f>
        <v>0</v>
      </c>
      <c r="AN18" s="38">
        <f>IFERROR(INDEX('Prior Year Data Pull'!$A$2:$CB$593,MATCH(C18,'Prior Year Data Pull'!$A$2:$A$593,0),MATCH("Short Term Investments",'Prior Year Data Pull'!$A$1:$CB$1,0)),"")</f>
        <v>0</v>
      </c>
      <c r="AO18" s="38">
        <f>IFERROR(INDEX('Prior Year Data Pull'!$A$2:$CB$593,MATCH(C18,'Prior Year Data Pull'!$A$2:$A$593,0),MATCH("Cash and Cash Equivalents",'Prior Year Data Pull'!$A$1:$CB$1,0)),"")</f>
        <v>5799255</v>
      </c>
      <c r="AP18" s="38">
        <f>IFERROR(INDEX('Prior Year Data Pull'!$A$2:$CB$593,MATCH(C18,'Prior Year Data Pull'!$A$2:$A$593,0),MATCH("Interest Expense",'Prior Year Data Pull'!$A$1:$CB$1,0)),"")</f>
        <v>997623</v>
      </c>
      <c r="AQ18" s="38">
        <f>IFERROR(INDEX('Prior Year Data Pull'!$A$2:$CB$593,MATCH(C18,'Prior Year Data Pull'!$A$2:$A$593,0),MATCH("Long Term Debt Net of Current Portion",'Prior Year Data Pull'!$A$1:$CB$1,0)),"")</f>
        <v>46232256</v>
      </c>
      <c r="AR18" s="38">
        <f>IFERROR(INDEX('Prior Year Data Pull'!$A$2:$CB$593,MATCH(C18,'Prior Year Data Pull'!$A$2:$A$593,0),MATCH("Total Assets",'Prior Year Data Pull'!$A$1:$CB$1,0)),"")</f>
        <v>92944259</v>
      </c>
      <c r="AS18" s="38">
        <f>IFERROR(INDEX('Prior Year Data Pull'!$A$2:$CB$593,MATCH(C18,'Prior Year Data Pull'!$A$2:$A$593,0),MATCH("Long Term Debt Net of Current Portion",'Prior Year Data Pull'!$A$1:$CB$1,0)),"")</f>
        <v>46232256</v>
      </c>
      <c r="AT18" s="38">
        <f>IFERROR(INDEX('Prior Year Data Pull'!$A$2:$CB$593,MATCH(C18,'Prior Year Data Pull'!$A$2:$A$593,0),MATCH("Net Unrestricted Assets",'Prior Year Data Pull'!$A$1:$CB$1,0)),"")</f>
        <v>5666348</v>
      </c>
      <c r="AU18" s="38">
        <f>IFERROR(INDEX('Prior Year Data Pull'!$A$2:$CB$593,MATCH(C18,'Prior Year Data Pull'!$A$2:$A$593,0),MATCH("Unrealized Gains/Losses",'Prior Year Data Pull'!$A$1:$CB$1,0)),"")</f>
        <v>0</v>
      </c>
      <c r="AV18" s="38">
        <f>IFERROR(INDEX('Prior Year Data Pull'!$A$2:$CB$593,MATCH(C18,'Prior Year Data Pull'!$A$2:$A$593,0),MATCH("Salary and Benefit Expense",'Prior Year Data Pull'!$A$1:$CB$1,0)),"")</f>
        <v>91015482</v>
      </c>
    </row>
    <row r="19" spans="1:48" ht="34.200000000000003" x14ac:dyDescent="0.3">
      <c r="A19" s="46" t="str">
        <f>IFERROR(INDEX('Static Data Tab'!$N$2:$N$610,MATCH(D19,'Static Data Tab'!$D$2:$D$610,0)), "")</f>
        <v>Lawrence General Hospital and Affiliates</v>
      </c>
      <c r="B19" s="46" t="s">
        <v>176</v>
      </c>
      <c r="C19" s="46">
        <v>75</v>
      </c>
      <c r="D19" s="46">
        <v>13156</v>
      </c>
      <c r="E19" s="46" t="str">
        <f>IFERROR(INDEX('Prior Year Data Pull'!$A$1:$CB$593,MATCH(C19,'Prior Year Data Pull'!$A$1:$A$593,0),MATCH("Organization Type",'Prior Year Data Pull'!$A$1:$CB$1,0)),"")</f>
        <v>AcuteHospital</v>
      </c>
      <c r="F19" s="46" t="str">
        <f>IFERROR(INDEX('Static Data Tab'!$E$2:$E$610,MATCH(C19,'Static Data Tab'!$B$2:$B$610,0)), "-")</f>
        <v>Community-High Public Payer Hospital</v>
      </c>
      <c r="G19" s="46" t="str">
        <f>IFERROR(INDEX('Static Data Tab'!$J$2:$J$610,MATCH(C19,'Static Data Tab'!$B$2:$B$610,0)), "")</f>
        <v>Northeastern Massachusetts</v>
      </c>
      <c r="H19" s="46" t="str">
        <f>IFERROR(INDEX('Static Data Tab'!$F$2:$F$610,MATCH(C19,'Static Data Tab'!$B$2:$B$610,0)), "")</f>
        <v>x</v>
      </c>
      <c r="I19" s="46">
        <f>IFERROR(INDEX('Static Data Tab'!$G$2:$G$610,MATCH(C19,'Static Data Tab'!$B$2:$B$610,0)), "")</f>
        <v>0</v>
      </c>
      <c r="J19" s="46" t="str">
        <f>IFERROR(INDEX('Prior Year Data Pull'!$A$2:$CB$593,MATCH(C19,'Prior Year Data Pull'!$A$2:$A$593,0),MATCH("Quarter Range",'Prior Year Data Pull'!$A$1:$CB$1,0)),"")</f>
        <v xml:space="preserve">10/01/2024-09/30/2025
</v>
      </c>
      <c r="K19" s="45">
        <f t="shared" si="0"/>
        <v>0.13918750421244186</v>
      </c>
      <c r="L19" s="45">
        <f t="shared" si="1"/>
        <v>0.13449765226573207</v>
      </c>
      <c r="M19" s="45">
        <f t="shared" si="2"/>
        <v>0.27368515647817393</v>
      </c>
      <c r="N19" s="47">
        <f t="shared" si="3"/>
        <v>97456000</v>
      </c>
      <c r="O19" s="265">
        <f t="shared" si="4"/>
        <v>1.2444809047360943</v>
      </c>
      <c r="P19" s="47">
        <f>IFERROR(INDEX('Prior Year Data Pull'!$A$2:$CB$593,MATCH('Prior Year Data Table'!$C19,'Prior Year Data Pull'!$A$2:$A$593,0),MATCH("Total Net Assets or Equity",'Prior Year Data Pull'!$A$1:$CB$1,0)),"")</f>
        <v>97457000</v>
      </c>
      <c r="Q19" s="47">
        <f>IFERROR(INDEX('Prior Year Data Pull'!$A$2:$CB$593,MATCH('Prior Year Data Table'!$C19,'Prior Year Data Pull'!$A$2:$A$593,0),MATCH("Total Operating Revenue",'Prior Year Data Pull'!$A$1:$CB$1,0)),"")</f>
        <v>308195000</v>
      </c>
      <c r="R19" s="47">
        <f>IFERROR(INDEX('Prior Year Data Pull'!$A$2:$CB$593,MATCH('Prior Year Data Table'!$C19,'Prior Year Data Pull'!$A$2:$A$593,0),MATCH("Total Unrestricted Revenue Gains and Other Support",'Prior Year Data Pull'!$A$1:$CB$1,0)),"")</f>
        <v>356088000</v>
      </c>
      <c r="S19" s="47">
        <f>IFERROR(INDEX('Prior Year TS Data Pull'!$K$2:$K$607,MATCH(C19,'Prior Year TS Data Pull'!$A$2:$A$607,0))+INDEX('Prior Year TS Data Pull'!$O$2:$O$119,MATCH(C19,'Prior Year TS Data Pull'!$A$2:$A$607,0))+INDEX('Prior Year TS Data Pull'!$S$2:$S$119,MATCH(C19,'Prior Year TS Data Pull'!$A$2:$A$607,0)),"")</f>
        <v>598998.48</v>
      </c>
      <c r="T19" s="47">
        <f>IF(INDEX('Prior Year TS Data Pull'!$A$1:$O$607,MATCH(C19,'Prior Year TS Data Pull'!$A$1:$A$607,0),MATCH("Temporary RN Staffing:
Line Reported on in Standardized Financials",'Prior Year TS Data Pull'!$A$1:$O$1,0))="66.1: Salary and Benefit Expense",'Prior Year Data Table'!$AV19-'Prior Year Data Table'!$S19,0)</f>
        <v>0</v>
      </c>
      <c r="U19" s="47">
        <f>IFERROR(INDEX('Prior Year Data Pull'!$A$2:$CB$593,MATCH(C19,'Prior Year Data Pull'!$A$2:$A$593,0),MATCH("Total Expenses Including Nonrecurring Gains Losses",'Prior Year Data Pull'!$A$1:$CB$1,0)),"")</f>
        <v>258632000</v>
      </c>
      <c r="V19" s="266">
        <f t="shared" si="5"/>
        <v>1</v>
      </c>
      <c r="W19" s="266">
        <f t="shared" si="6"/>
        <v>49.529902714658462</v>
      </c>
      <c r="X19" s="266">
        <f t="shared" si="7"/>
        <v>94.98827578831461</v>
      </c>
      <c r="Y19" s="45">
        <f t="shared" si="8"/>
        <v>-6.62907043695221</v>
      </c>
      <c r="Z19" s="266">
        <f t="shared" si="9"/>
        <v>12.817771686820956</v>
      </c>
      <c r="AA19" s="265" t="str">
        <f t="shared" si="10"/>
        <v/>
      </c>
      <c r="AB19" s="45">
        <f t="shared" si="11"/>
        <v>0.5880823075066377</v>
      </c>
      <c r="AC19" s="45">
        <f t="shared" si="12"/>
        <v>0</v>
      </c>
      <c r="AD19" s="47">
        <f>IFERROR(INDEX('Prior Year Data Pull'!$A$2:$CB$593,MATCH(C19,'Prior Year Data Pull'!$A$2:$A$593,0),MATCH("Net Patient Service Revenue",'Prior Year Data Pull'!$A$1:$CB$1,0)),"")</f>
        <v>173613000</v>
      </c>
      <c r="AE19" s="47">
        <f>IFERROR(INDEX('Prior Year Data Pull'!$A$2:$CB$593,MATCH(C19,'Prior Year Data Pull'!$A$2:$A$593,0),MATCH("Total Current Assets",'Prior Year Data Pull'!$A$1:$CB$1,0)),"")</f>
        <v>84952000</v>
      </c>
      <c r="AF19" s="47">
        <f>IFERROR(INDEX('Prior Year Data Pull'!$A$2:$CB$593,MATCH(C19,'Prior Year Data Pull'!$A$2:$A$593,0),MATCH("Total Current Liabilities",'Prior Year Data Pull'!$A$1:$CB$1,0)),"")</f>
        <v>68263000</v>
      </c>
      <c r="AG19" s="47">
        <f>IFERROR(INDEX('Prior Year Data Pull'!$A$2:$CB$593,MATCH(C19,'Prior Year Data Pull'!$A$2:$A$593,0),MATCH("Total Non Operating Revenue",'Prior Year Data Pull'!$A$1:$CB$1,0)),"")</f>
        <v>47893000</v>
      </c>
      <c r="AH19" s="47">
        <f>IFERROR(INDEX('Prior Year Data Pull'!$A$2:$CB$593,MATCH(C19,'Prior Year Data Pull'!$A$2:$A$593,0),MATCH("Less Accumulated Depreciation",'Prior Year Data Pull'!$A$1:$CB$1,0)),"")</f>
        <v>6163000</v>
      </c>
      <c r="AI19" s="47">
        <f>IFERROR(INDEX('Prior Year Data Pull'!$A$2:$CB$593,MATCH(C19,'Prior Year Data Pull'!$A$2:$A$593,0),MATCH("Depreciation and Amortization Expense",'Prior Year Data Pull'!$A$1:$CB$1,0)),"")</f>
        <v>6163000</v>
      </c>
      <c r="AJ19" s="47">
        <f>IFERROR(INDEX('Prior Year Data Pull'!$A$2:$CB$593,MATCH(C19,'Prior Year Data Pull'!$A$2:$A$593,0),MATCH("Net Patient Accounts Receivable",'Prior Year Data Pull'!$A$1:$CB$1,0)),"")</f>
        <v>23559000</v>
      </c>
      <c r="AK19" s="46">
        <v>365</v>
      </c>
      <c r="AL19" s="47">
        <f>IFERROR(INDEX('Prior Year Data Pull'!$A$2:$CB$593,MATCH(C19,'Prior Year Data Pull'!$A$2:$A$593,0),MATCH("Estimated Third Party Settlements",'Prior Year Data Pull'!$A$1:$CB$1,0)),"")</f>
        <v>2560000</v>
      </c>
      <c r="AM19" s="47">
        <f>IFERROR(INDEX('Prior Year Data Pull'!$A$2:$CB$593,MATCH(C19,'Prior Year Data Pull'!$A$2:$A$593,0),MATCH("Current Liabilities due to Affiliates",'Prior Year Data Pull'!$A$1:$CB$1,0)),"")</f>
        <v>-15631000</v>
      </c>
      <c r="AN19" s="47">
        <f>IFERROR(INDEX('Prior Year Data Pull'!$A$2:$CB$593,MATCH(C19,'Prior Year Data Pull'!$A$2:$A$593,0),MATCH("Short Term Investments",'Prior Year Data Pull'!$A$1:$CB$1,0)),"")</f>
        <v>0</v>
      </c>
      <c r="AO19" s="47">
        <f>IFERROR(INDEX('Prior Year Data Pull'!$A$2:$CB$593,MATCH(C19,'Prior Year Data Pull'!$A$2:$A$593,0),MATCH("Cash and Cash Equivalents",'Prior Year Data Pull'!$A$1:$CB$1,0)),"")</f>
        <v>8866000</v>
      </c>
      <c r="AP19" s="47">
        <f>IFERROR(INDEX('Prior Year Data Pull'!$A$2:$CB$593,MATCH(C19,'Prior Year Data Pull'!$A$2:$A$593,0),MATCH("Interest Expense",'Prior Year Data Pull'!$A$1:$CB$1,0)),"")</f>
        <v>0</v>
      </c>
      <c r="AQ19" s="47">
        <f>IFERROR(INDEX('Prior Year Data Pull'!$A$2:$CB$593,MATCH(C19,'Prior Year Data Pull'!$A$2:$A$593,0),MATCH("Long Term Debt Net of Current Portion",'Prior Year Data Pull'!$A$1:$CB$1,0)),"")</f>
        <v>0</v>
      </c>
      <c r="AR19" s="47">
        <f>IFERROR(INDEX('Prior Year Data Pull'!$A$2:$CB$593,MATCH(C19,'Prior Year Data Pull'!$A$2:$A$593,0),MATCH("Total Assets",'Prior Year Data Pull'!$A$1:$CB$1,0)),"")</f>
        <v>165720000</v>
      </c>
      <c r="AS19" s="47">
        <f>IFERROR(INDEX('Prior Year Data Pull'!$A$2:$CB$593,MATCH(C19,'Prior Year Data Pull'!$A$2:$A$593,0),MATCH("Long Term Debt Net of Current Portion",'Prior Year Data Pull'!$A$1:$CB$1,0)),"")</f>
        <v>0</v>
      </c>
      <c r="AT19" s="47">
        <f>IFERROR(INDEX('Prior Year Data Pull'!$A$2:$CB$593,MATCH(C19,'Prior Year Data Pull'!$A$2:$A$593,0),MATCH("Net Unrestricted Assets",'Prior Year Data Pull'!$A$1:$CB$1,0)),"")</f>
        <v>97457000</v>
      </c>
      <c r="AU19" s="47">
        <f>IFERROR(INDEX('Prior Year Data Pull'!$A$2:$CB$593,MATCH(C19,'Prior Year Data Pull'!$A$2:$A$593,0),MATCH("Unrealized Gains/Losses",'Prior Year Data Pull'!$A$1:$CB$1,0)),"")</f>
        <v>0</v>
      </c>
      <c r="AV19" s="47">
        <f>IFERROR(INDEX('Prior Year Data Pull'!$A$2:$CB$593,MATCH(C19,'Prior Year Data Pull'!$A$2:$A$593,0),MATCH("Salary and Benefit Expense",'Prior Year Data Pull'!$A$1:$CB$1,0)),"")</f>
        <v>97774000</v>
      </c>
    </row>
    <row r="20" spans="1:48" ht="34.200000000000003" x14ac:dyDescent="0.3">
      <c r="A20" s="14" t="str">
        <f>IFERROR(INDEX('Static Data Tab'!$N$2:$N$610,MATCH(D20,'Static Data Tab'!$D$2:$D$610,0)), "")</f>
        <v>Valley Health System</v>
      </c>
      <c r="B20" s="14" t="s">
        <v>205</v>
      </c>
      <c r="C20" s="14">
        <v>77</v>
      </c>
      <c r="D20" s="14">
        <v>12767</v>
      </c>
      <c r="E20" s="14" t="str">
        <f>IFERROR(INDEX('Prior Year Data Pull'!$A$1:$CB$593,MATCH(C20,'Prior Year Data Pull'!$A$1:$A$593,0),MATCH("Organization Type",'Prior Year Data Pull'!$A$1:$CB$1,0)),"")</f>
        <v>AcuteHospital</v>
      </c>
      <c r="F20" s="14" t="str">
        <f>IFERROR(INDEX('Static Data Tab'!$E$2:$E$610,MATCH(C20,'Static Data Tab'!$B$2:$B$610,0)), "-")</f>
        <v>Community-High Public Payer Hospital</v>
      </c>
      <c r="G20" s="14" t="str">
        <f>IFERROR(INDEX('Static Data Tab'!$J$2:$J$610,MATCH(C20,'Static Data Tab'!$B$2:$B$610,0)), "")</f>
        <v>Western Massachusetts</v>
      </c>
      <c r="H20" s="14" t="str">
        <f>IFERROR(INDEX('Static Data Tab'!$F$2:$F$610,MATCH(C20,'Static Data Tab'!$B$2:$B$610,0)), "")</f>
        <v>x</v>
      </c>
      <c r="I20" s="14">
        <f>IFERROR(INDEX('Static Data Tab'!$G$2:$G$610,MATCH(C20,'Static Data Tab'!$B$2:$B$610,0)), "")</f>
        <v>0</v>
      </c>
      <c r="J20" s="14" t="str">
        <f>IFERROR(INDEX('Prior Year Data Pull'!$A$2:$CB$593,MATCH(C20,'Prior Year Data Pull'!$A$2:$A$593,0),MATCH("Quarter Range",'Prior Year Data Pull'!$A$1:$CB$1,0)),"")</f>
        <v xml:space="preserve">10/01/2024-09/30/2025
</v>
      </c>
      <c r="K20" s="37">
        <f t="shared" si="0"/>
        <v>5.6919768630397327E-2</v>
      </c>
      <c r="L20" s="37">
        <f t="shared" si="1"/>
        <v>-0.1141830829637737</v>
      </c>
      <c r="M20" s="37">
        <f t="shared" si="2"/>
        <v>-5.7263314333376378E-2</v>
      </c>
      <c r="N20" s="38">
        <f t="shared" si="3"/>
        <v>-15354861</v>
      </c>
      <c r="O20" s="39">
        <f t="shared" si="4"/>
        <v>1.2319865922147069</v>
      </c>
      <c r="P20" s="38">
        <f>IFERROR(INDEX('Prior Year Data Pull'!$A$2:$CB$593,MATCH('Prior Year Data Table'!$C20,'Prior Year Data Pull'!$A$2:$A$593,0),MATCH("Total Net Assets or Equity",'Prior Year Data Pull'!$A$1:$CB$1,0)),"")</f>
        <v>61341922</v>
      </c>
      <c r="Q20" s="38">
        <f>IFERROR(INDEX('Prior Year Data Pull'!$A$2:$CB$593,MATCH('Prior Year Data Table'!$C20,'Prior Year Data Pull'!$A$2:$A$593,0),MATCH("Total Operating Revenue",'Prior Year Data Pull'!$A$1:$CB$1,0)),"")</f>
        <v>298762420</v>
      </c>
      <c r="R20" s="38">
        <f>IFERROR(INDEX('Prior Year Data Pull'!$A$2:$CB$593,MATCH('Prior Year Data Table'!$C20,'Prior Year Data Pull'!$A$2:$A$593,0),MATCH("Total Unrestricted Revenue Gains and Other Support",'Prior Year Data Pull'!$A$1:$CB$1,0)),"")</f>
        <v>268144818</v>
      </c>
      <c r="S20" s="38">
        <f>IFERROR(INDEX('Prior Year TS Data Pull'!$K$2:$K$607,MATCH(C20,'Prior Year TS Data Pull'!$A$2:$A$607,0))+INDEX('Prior Year TS Data Pull'!$O$2:$O$119,MATCH(C20,'Prior Year TS Data Pull'!$A$2:$A$607,0))+INDEX('Prior Year TS Data Pull'!$S$2:$S$119,MATCH(C20,'Prior Year TS Data Pull'!$A$2:$A$607,0)),"")</f>
        <v>354711.8</v>
      </c>
      <c r="T20" s="38">
        <f>IF(INDEX('Prior Year TS Data Pull'!$A$1:$O$607,MATCH(C20,'Prior Year TS Data Pull'!$A$1:$A$607,0),MATCH("Temporary RN Staffing:
Line Reported on in Standardized Financials",'Prior Year TS Data Pull'!$A$1:$O$1,0))="66.1: Salary and Benefit Expense",'Prior Year Data Table'!$AV20-'Prior Year Data Table'!$S20,0)</f>
        <v>0</v>
      </c>
      <c r="U20" s="38">
        <f>IFERROR(INDEX('Prior Year Data Pull'!$A$2:$CB$593,MATCH(C20,'Prior Year Data Pull'!$A$2:$A$593,0),MATCH("Total Expenses Including Nonrecurring Gains Losses",'Prior Year Data Pull'!$A$1:$CB$1,0)),"")</f>
        <v>283499679</v>
      </c>
      <c r="V20" s="41">
        <f t="shared" si="5"/>
        <v>13.543173189497796</v>
      </c>
      <c r="W20" s="41">
        <f t="shared" si="6"/>
        <v>56.844369319364318</v>
      </c>
      <c r="X20" s="41">
        <f t="shared" si="7"/>
        <v>66.92536122701803</v>
      </c>
      <c r="Y20" s="37">
        <f t="shared" si="8"/>
        <v>-0.42464263831724358</v>
      </c>
      <c r="Z20" s="41">
        <f t="shared" si="9"/>
        <v>22.971405163264095</v>
      </c>
      <c r="AA20" s="39">
        <f t="shared" si="10"/>
        <v>-0.35624356474741492</v>
      </c>
      <c r="AB20" s="37">
        <f t="shared" si="11"/>
        <v>0.42406103323222233</v>
      </c>
      <c r="AC20" s="37">
        <f t="shared" si="12"/>
        <v>0.25313368469270536</v>
      </c>
      <c r="AD20" s="38">
        <f>IFERROR(INDEX('Prior Year Data Pull'!$A$2:$CB$593,MATCH(C20,'Prior Year Data Pull'!$A$2:$A$593,0),MATCH("Net Patient Service Revenue",'Prior Year Data Pull'!$A$1:$CB$1,0)),"")</f>
        <v>247312881</v>
      </c>
      <c r="AE20" s="38">
        <f>IFERROR(INDEX('Prior Year Data Pull'!$A$2:$CB$593,MATCH(C20,'Prior Year Data Pull'!$A$2:$A$593,0),MATCH("Total Current Assets",'Prior Year Data Pull'!$A$1:$CB$1,0)),"")</f>
        <v>68335921</v>
      </c>
      <c r="AF20" s="38">
        <f>IFERROR(INDEX('Prior Year Data Pull'!$A$2:$CB$593,MATCH(C20,'Prior Year Data Pull'!$A$2:$A$593,0),MATCH("Total Current Liabilities",'Prior Year Data Pull'!$A$1:$CB$1,0)),"")</f>
        <v>55468072</v>
      </c>
      <c r="AG20" s="38">
        <f>IFERROR(INDEX('Prior Year Data Pull'!$A$2:$CB$593,MATCH(C20,'Prior Year Data Pull'!$A$2:$A$593,0),MATCH("Total Non Operating Revenue",'Prior Year Data Pull'!$A$1:$CB$1,0)),"")</f>
        <v>-30617602</v>
      </c>
      <c r="AH20" s="38">
        <f>IFERROR(INDEX('Prior Year Data Pull'!$A$2:$CB$593,MATCH(C20,'Prior Year Data Pull'!$A$2:$A$593,0),MATCH("Less Accumulated Depreciation",'Prior Year Data Pull'!$A$1:$CB$1,0)),"")</f>
        <v>97087528</v>
      </c>
      <c r="AI20" s="38">
        <f>IFERROR(INDEX('Prior Year Data Pull'!$A$2:$CB$593,MATCH(C20,'Prior Year Data Pull'!$A$2:$A$593,0),MATCH("Depreciation and Amortization Expense",'Prior Year Data Pull'!$A$1:$CB$1,0)),"")</f>
        <v>7168743</v>
      </c>
      <c r="AJ20" s="38">
        <f>IFERROR(INDEX('Prior Year Data Pull'!$A$2:$CB$593,MATCH(C20,'Prior Year Data Pull'!$A$2:$A$593,0),MATCH("Net Patient Accounts Receivable",'Prior Year Data Pull'!$A$1:$CB$1,0)),"")</f>
        <v>38516013</v>
      </c>
      <c r="AK20" s="14">
        <v>365</v>
      </c>
      <c r="AL20" s="38">
        <f>IFERROR(INDEX('Prior Year Data Pull'!$A$2:$CB$593,MATCH(C20,'Prior Year Data Pull'!$A$2:$A$593,0),MATCH("Estimated Third Party Settlements",'Prior Year Data Pull'!$A$1:$CB$1,0)),"")</f>
        <v>4800818</v>
      </c>
      <c r="AM20" s="38">
        <f>IFERROR(INDEX('Prior Year Data Pull'!$A$2:$CB$593,MATCH(C20,'Prior Year Data Pull'!$A$2:$A$593,0),MATCH("Current Liabilities due to Affiliates",'Prior Year Data Pull'!$A$1:$CB$1,0)),"")</f>
        <v>0</v>
      </c>
      <c r="AN20" s="38">
        <f>IFERROR(INDEX('Prior Year Data Pull'!$A$2:$CB$593,MATCH(C20,'Prior Year Data Pull'!$A$2:$A$593,0),MATCH("Short Term Investments",'Prior Year Data Pull'!$A$1:$CB$1,0)),"")</f>
        <v>334880</v>
      </c>
      <c r="AO20" s="38">
        <f>IFERROR(INDEX('Prior Year Data Pull'!$A$2:$CB$593,MATCH(C20,'Prior Year Data Pull'!$A$2:$A$593,0),MATCH("Cash and Cash Equivalents",'Prior Year Data Pull'!$A$1:$CB$1,0)),"")</f>
        <v>17056106</v>
      </c>
      <c r="AP20" s="38">
        <f>IFERROR(INDEX('Prior Year Data Pull'!$A$2:$CB$593,MATCH(C20,'Prior Year Data Pull'!$A$2:$A$593,0),MATCH("Interest Expense",'Prior Year Data Pull'!$A$1:$CB$1,0)),"")</f>
        <v>950771</v>
      </c>
      <c r="AQ20" s="38">
        <f>IFERROR(INDEX('Prior Year Data Pull'!$A$2:$CB$593,MATCH(C20,'Prior Year Data Pull'!$A$2:$A$593,0),MATCH("Long Term Debt Net of Current Portion",'Prior Year Data Pull'!$A$1:$CB$1,0)),"")</f>
        <v>18852259</v>
      </c>
      <c r="AR20" s="38">
        <f>IFERROR(INDEX('Prior Year Data Pull'!$A$2:$CB$593,MATCH(C20,'Prior Year Data Pull'!$A$2:$A$593,0),MATCH("Total Assets",'Prior Year Data Pull'!$A$1:$CB$1,0)),"")</f>
        <v>144653522</v>
      </c>
      <c r="AS20" s="38">
        <f>IFERROR(INDEX('Prior Year Data Pull'!$A$2:$CB$593,MATCH(C20,'Prior Year Data Pull'!$A$2:$A$593,0),MATCH("Long Term Debt Net of Current Portion",'Prior Year Data Pull'!$A$1:$CB$1,0)),"")</f>
        <v>18852259</v>
      </c>
      <c r="AT20" s="38">
        <f>IFERROR(INDEX('Prior Year Data Pull'!$A$2:$CB$593,MATCH(C20,'Prior Year Data Pull'!$A$2:$A$593,0),MATCH("Net Unrestricted Assets",'Prior Year Data Pull'!$A$1:$CB$1,0)),"")</f>
        <v>55623246</v>
      </c>
      <c r="AU20" s="38">
        <f>IFERROR(INDEX('Prior Year Data Pull'!$A$2:$CB$593,MATCH(C20,'Prior Year Data Pull'!$A$2:$A$593,0),MATCH("Unrealized Gains/Losses",'Prior Year Data Pull'!$A$1:$CB$1,0)),"")</f>
        <v>-180645</v>
      </c>
      <c r="AV20" s="38">
        <f>IFERROR(INDEX('Prior Year Data Pull'!$A$2:$CB$593,MATCH(C20,'Prior Year Data Pull'!$A$2:$A$593,0),MATCH("Salary and Benefit Expense",'Prior Year Data Pull'!$A$1:$CB$1,0)),"")</f>
        <v>172275669</v>
      </c>
    </row>
    <row r="21" spans="1:48" ht="34.200000000000003" x14ac:dyDescent="0.3">
      <c r="A21" s="46" t="str">
        <f>IFERROR(INDEX('Static Data Tab'!$N$2:$N$610,MATCH(D21,'Static Data Tab'!$D$2:$D$610,0)), "")</f>
        <v>Beth Israel Lahey Health</v>
      </c>
      <c r="B21" s="46" t="s">
        <v>94</v>
      </c>
      <c r="C21" s="46">
        <v>79</v>
      </c>
      <c r="D21" s="46">
        <v>16665</v>
      </c>
      <c r="E21" s="46" t="str">
        <f>IFERROR(INDEX('Prior Year Data Pull'!$A$1:$CB$593,MATCH(C21,'Prior Year Data Pull'!$A$1:$A$593,0),MATCH("Organization Type",'Prior Year Data Pull'!$A$1:$CB$1,0)),"")</f>
        <v>AcuteHospital</v>
      </c>
      <c r="F21" s="46" t="str">
        <f>IFERROR(INDEX('Static Data Tab'!$E$2:$E$610,MATCH(C21,'Static Data Tab'!$B$2:$B$610,0)), "-")</f>
        <v>Community-High Public Payer Hospital</v>
      </c>
      <c r="G21" s="46" t="str">
        <f>IFERROR(INDEX('Static Data Tab'!$J$2:$J$610,MATCH(C21,'Static Data Tab'!$B$2:$B$610,0)), "")</f>
        <v>Metro South</v>
      </c>
      <c r="H21" s="46" t="str">
        <f>IFERROR(INDEX('Static Data Tab'!$F$2:$F$610,MATCH(C21,'Static Data Tab'!$B$2:$B$610,0)), "")</f>
        <v>x</v>
      </c>
      <c r="I21" s="46">
        <f>IFERROR(INDEX('Static Data Tab'!$G$2:$G$610,MATCH(C21,'Static Data Tab'!$B$2:$B$610,0)), "")</f>
        <v>0</v>
      </c>
      <c r="J21" s="46" t="str">
        <f>IFERROR(INDEX('Prior Year Data Pull'!$A$2:$CB$593,MATCH(C21,'Prior Year Data Pull'!$A$2:$A$593,0),MATCH("Quarter Range",'Prior Year Data Pull'!$A$1:$CB$1,0)),"")</f>
        <v xml:space="preserve">10/01/2024-09/30/2025
</v>
      </c>
      <c r="K21" s="45">
        <f t="shared" si="0"/>
        <v>1.7406976421321527E-2</v>
      </c>
      <c r="L21" s="45">
        <f t="shared" si="1"/>
        <v>1.3610559289989221E-2</v>
      </c>
      <c r="M21" s="45">
        <f t="shared" si="2"/>
        <v>3.1017535711310749E-2</v>
      </c>
      <c r="N21" s="47">
        <f t="shared" si="3"/>
        <v>12288000</v>
      </c>
      <c r="O21" s="265">
        <f t="shared" si="4"/>
        <v>0.67297872934086067</v>
      </c>
      <c r="P21" s="47">
        <f>IFERROR(INDEX('Prior Year Data Pull'!$A$2:$CB$593,MATCH('Prior Year Data Table'!$C21,'Prior Year Data Pull'!$A$2:$A$593,0),MATCH("Total Net Assets or Equity",'Prior Year Data Pull'!$A$1:$CB$1,0)),"")</f>
        <v>83033000</v>
      </c>
      <c r="Q21" s="47">
        <f>IFERROR(INDEX('Prior Year Data Pull'!$A$2:$CB$593,MATCH('Prior Year Data Table'!$C21,'Prior Year Data Pull'!$A$2:$A$593,0),MATCH("Total Operating Revenue",'Prior Year Data Pull'!$A$1:$CB$1,0)),"")</f>
        <v>390771000</v>
      </c>
      <c r="R21" s="47">
        <f>IFERROR(INDEX('Prior Year Data Pull'!$A$2:$CB$593,MATCH('Prior Year Data Table'!$C21,'Prior Year Data Pull'!$A$2:$A$593,0),MATCH("Total Unrestricted Revenue Gains and Other Support",'Prior Year Data Pull'!$A$1:$CB$1,0)),"")</f>
        <v>396163000</v>
      </c>
      <c r="S21" s="47">
        <f>IFERROR(INDEX('Prior Year TS Data Pull'!$K$2:$K$607,MATCH(C21,'Prior Year TS Data Pull'!$A$2:$A$607,0))+INDEX('Prior Year TS Data Pull'!$O$2:$O$119,MATCH(C21,'Prior Year TS Data Pull'!$A$2:$A$607,0))+INDEX('Prior Year TS Data Pull'!$S$2:$S$119,MATCH(C21,'Prior Year TS Data Pull'!$A$2:$A$607,0)),"")</f>
        <v>13968228</v>
      </c>
      <c r="T21" s="47">
        <f>IF(INDEX('Prior Year TS Data Pull'!$A$1:$O$607,MATCH(C21,'Prior Year TS Data Pull'!$A$1:$A$607,0),MATCH("Temporary RN Staffing:
Line Reported on in Standardized Financials",'Prior Year TS Data Pull'!$A$1:$O$1,0))="66.1: Salary and Benefit Expense",'Prior Year Data Table'!$AV21-'Prior Year Data Table'!$S21,0)</f>
        <v>153372772</v>
      </c>
      <c r="U21" s="47">
        <f>IFERROR(INDEX('Prior Year Data Pull'!$A$2:$CB$593,MATCH(C21,'Prior Year Data Pull'!$A$2:$A$593,0),MATCH("Total Expenses Including Nonrecurring Gains Losses",'Prior Year Data Pull'!$A$1:$CB$1,0)),"")</f>
        <v>383875000</v>
      </c>
      <c r="V21" s="266">
        <f t="shared" si="5"/>
        <v>6.5782704239917269</v>
      </c>
      <c r="W21" s="266">
        <f t="shared" si="6"/>
        <v>37.418705082342328</v>
      </c>
      <c r="X21" s="266">
        <f t="shared" si="7"/>
        <v>98.121187938208976</v>
      </c>
      <c r="Y21" s="45">
        <f t="shared" si="8"/>
        <v>0.19075112724073462</v>
      </c>
      <c r="Z21" s="266">
        <f t="shared" si="9"/>
        <v>25.572579484966194</v>
      </c>
      <c r="AA21" s="265">
        <f t="shared" si="10"/>
        <v>0.38958368499393864</v>
      </c>
      <c r="AB21" s="45">
        <f t="shared" si="11"/>
        <v>0.29910484321247816</v>
      </c>
      <c r="AC21" s="45">
        <f t="shared" si="12"/>
        <v>0.51231156783557918</v>
      </c>
      <c r="AD21" s="47">
        <f>IFERROR(INDEX('Prior Year Data Pull'!$A$2:$CB$593,MATCH(C21,'Prior Year Data Pull'!$A$2:$A$593,0),MATCH("Net Patient Service Revenue",'Prior Year Data Pull'!$A$1:$CB$1,0)),"")</f>
        <v>372348000</v>
      </c>
      <c r="AE21" s="47">
        <f>IFERROR(INDEX('Prior Year Data Pull'!$A$2:$CB$593,MATCH(C21,'Prior Year Data Pull'!$A$2:$A$593,0),MATCH("Total Current Assets",'Prior Year Data Pull'!$A$1:$CB$1,0)),"")</f>
        <v>72358000</v>
      </c>
      <c r="AF21" s="47">
        <f>IFERROR(INDEX('Prior Year Data Pull'!$A$2:$CB$593,MATCH(C21,'Prior Year Data Pull'!$A$2:$A$593,0),MATCH("Total Current Liabilities",'Prior Year Data Pull'!$A$1:$CB$1,0)),"")</f>
        <v>107519000</v>
      </c>
      <c r="AG21" s="47">
        <f>IFERROR(INDEX('Prior Year Data Pull'!$A$2:$CB$593,MATCH(C21,'Prior Year Data Pull'!$A$2:$A$593,0),MATCH("Total Non Operating Revenue",'Prior Year Data Pull'!$A$1:$CB$1,0)),"")</f>
        <v>5392000</v>
      </c>
      <c r="AH21" s="47">
        <f>IFERROR(INDEX('Prior Year Data Pull'!$A$2:$CB$593,MATCH(C21,'Prior Year Data Pull'!$A$2:$A$593,0),MATCH("Less Accumulated Depreciation",'Prior Year Data Pull'!$A$1:$CB$1,0)),"")</f>
        <v>101779000</v>
      </c>
      <c r="AI21" s="47">
        <f>IFERROR(INDEX('Prior Year Data Pull'!$A$2:$CB$593,MATCH(C21,'Prior Year Data Pull'!$A$2:$A$593,0),MATCH("Depreciation and Amortization Expense",'Prior Year Data Pull'!$A$1:$CB$1,0)),"")</f>
        <v>15472000</v>
      </c>
      <c r="AJ21" s="47">
        <f>IFERROR(INDEX('Prior Year Data Pull'!$A$2:$CB$593,MATCH(C21,'Prior Year Data Pull'!$A$2:$A$593,0),MATCH("Net Patient Accounts Receivable",'Prior Year Data Pull'!$A$1:$CB$1,0)),"")</f>
        <v>38172000</v>
      </c>
      <c r="AK21" s="46">
        <v>365</v>
      </c>
      <c r="AL21" s="47">
        <f>IFERROR(INDEX('Prior Year Data Pull'!$A$2:$CB$593,MATCH(C21,'Prior Year Data Pull'!$A$2:$A$593,0),MATCH("Estimated Third Party Settlements",'Prior Year Data Pull'!$A$1:$CB$1,0)),"")</f>
        <v>8483000</v>
      </c>
      <c r="AM21" s="47">
        <f>IFERROR(INDEX('Prior Year Data Pull'!$A$2:$CB$593,MATCH(C21,'Prior Year Data Pull'!$A$2:$A$593,0),MATCH("Current Liabilities due to Affiliates",'Prior Year Data Pull'!$A$1:$CB$1,0)),"")</f>
        <v>63240000</v>
      </c>
      <c r="AN21" s="47">
        <f>IFERROR(INDEX('Prior Year Data Pull'!$A$2:$CB$593,MATCH(C21,'Prior Year Data Pull'!$A$2:$A$593,0),MATCH("Short Term Investments",'Prior Year Data Pull'!$A$1:$CB$1,0)),"")</f>
        <v>25628000</v>
      </c>
      <c r="AO21" s="47">
        <f>IFERROR(INDEX('Prior Year Data Pull'!$A$2:$CB$593,MATCH(C21,'Prior Year Data Pull'!$A$2:$A$593,0),MATCH("Cash and Cash Equivalents",'Prior Year Data Pull'!$A$1:$CB$1,0)),"")</f>
        <v>183000</v>
      </c>
      <c r="AP21" s="47">
        <f>IFERROR(INDEX('Prior Year Data Pull'!$A$2:$CB$593,MATCH(C21,'Prior Year Data Pull'!$A$2:$A$593,0),MATCH("Interest Expense",'Prior Year Data Pull'!$A$1:$CB$1,0)),"")</f>
        <v>1105000</v>
      </c>
      <c r="AQ21" s="47">
        <f>IFERROR(INDEX('Prior Year Data Pull'!$A$2:$CB$593,MATCH(C21,'Prior Year Data Pull'!$A$2:$A$593,0),MATCH("Long Term Debt Net of Current Portion",'Prior Year Data Pull'!$A$1:$CB$1,0)),"")</f>
        <v>64062000</v>
      </c>
      <c r="AR21" s="47">
        <f>IFERROR(INDEX('Prior Year Data Pull'!$A$2:$CB$593,MATCH(C21,'Prior Year Data Pull'!$A$2:$A$593,0),MATCH("Total Assets",'Prior Year Data Pull'!$A$1:$CB$1,0)),"")</f>
        <v>277605000</v>
      </c>
      <c r="AS21" s="47">
        <f>IFERROR(INDEX('Prior Year Data Pull'!$A$2:$CB$593,MATCH(C21,'Prior Year Data Pull'!$A$2:$A$593,0),MATCH("Long Term Debt Net of Current Portion",'Prior Year Data Pull'!$A$1:$CB$1,0)),"")</f>
        <v>64062000</v>
      </c>
      <c r="AT21" s="47">
        <f>IFERROR(INDEX('Prior Year Data Pull'!$A$2:$CB$593,MATCH(C21,'Prior Year Data Pull'!$A$2:$A$593,0),MATCH("Net Unrestricted Assets",'Prior Year Data Pull'!$A$1:$CB$1,0)),"")</f>
        <v>60983000</v>
      </c>
      <c r="AU21" s="47">
        <f>IFERROR(INDEX('Prior Year Data Pull'!$A$2:$CB$593,MATCH(C21,'Prior Year Data Pull'!$A$2:$A$593,0),MATCH("Unrealized Gains/Losses",'Prior Year Data Pull'!$A$1:$CB$1,0)),"")</f>
        <v>3477000</v>
      </c>
      <c r="AV21" s="47">
        <f>IFERROR(INDEX('Prior Year Data Pull'!$A$2:$CB$593,MATCH(C21,'Prior Year Data Pull'!$A$2:$A$593,0),MATCH("Salary and Benefit Expense",'Prior Year Data Pull'!$A$1:$CB$1,0)),"")</f>
        <v>167341000</v>
      </c>
    </row>
    <row r="22" spans="1:48" ht="34.200000000000003" x14ac:dyDescent="0.3">
      <c r="A22" s="14" t="str">
        <f>IFERROR(INDEX('Static Data Tab'!$N$2:$N$610,MATCH(D22,'Static Data Tab'!$D$2:$D$610,0)), "")</f>
        <v>Lawrence General Hospital and Affiliates</v>
      </c>
      <c r="B22" s="14" t="s">
        <v>139</v>
      </c>
      <c r="C22" s="14">
        <v>83</v>
      </c>
      <c r="D22" s="14">
        <v>13156</v>
      </c>
      <c r="E22" s="14" t="str">
        <f>IFERROR(INDEX('Prior Year Data Pull'!$A$1:$CB$593,MATCH(C22,'Prior Year Data Pull'!$A$1:$A$593,0),MATCH("Organization Type",'Prior Year Data Pull'!$A$1:$CB$1,0)),"")</f>
        <v>AcuteHospital</v>
      </c>
      <c r="F22" s="14" t="str">
        <f>IFERROR(INDEX('Static Data Tab'!$E$2:$E$610,MATCH(C22,'Static Data Tab'!$B$2:$B$610,0)), "-")</f>
        <v>Community-High Public Payer Hospital</v>
      </c>
      <c r="G22" s="14" t="str">
        <f>IFERROR(INDEX('Static Data Tab'!$J$2:$J$610,MATCH(C22,'Static Data Tab'!$B$2:$B$610,0)), "")</f>
        <v>Northeastern Massachusetts</v>
      </c>
      <c r="H22" s="14" t="str">
        <f>IFERROR(INDEX('Static Data Tab'!$F$2:$F$610,MATCH(C22,'Static Data Tab'!$B$2:$B$610,0)), "")</f>
        <v>x</v>
      </c>
      <c r="I22" s="14">
        <f>IFERROR(INDEX('Static Data Tab'!$G$2:$G$610,MATCH(C22,'Static Data Tab'!$B$2:$B$610,0)), "")</f>
        <v>0</v>
      </c>
      <c r="J22" s="14" t="str">
        <f>IFERROR(INDEX('Prior Year Data Pull'!$A$2:$CB$593,MATCH(C22,'Prior Year Data Pull'!$A$2:$A$593,0),MATCH("Quarter Range",'Prior Year Data Pull'!$A$1:$CB$1,0)),"")</f>
        <v xml:space="preserve">10/01/2024-09/30/2025
</v>
      </c>
      <c r="K22" s="37">
        <f t="shared" si="0"/>
        <v>2.1065431975872953E-3</v>
      </c>
      <c r="L22" s="37">
        <f t="shared" si="1"/>
        <v>1.5020217972068798E-2</v>
      </c>
      <c r="M22" s="37">
        <f t="shared" si="2"/>
        <v>1.7126761169656092E-2</v>
      </c>
      <c r="N22" s="38">
        <f t="shared" si="3"/>
        <v>6366000</v>
      </c>
      <c r="O22" s="39">
        <f t="shared" si="4"/>
        <v>0.90854641386907864</v>
      </c>
      <c r="P22" s="38">
        <f>IFERROR(INDEX('Prior Year Data Pull'!$A$2:$CB$593,MATCH('Prior Year Data Table'!$C22,'Prior Year Data Pull'!$A$2:$A$593,0),MATCH("Total Net Assets or Equity",'Prior Year Data Pull'!$A$1:$CB$1,0)),"")</f>
        <v>16888000</v>
      </c>
      <c r="Q22" s="38">
        <f>IFERROR(INDEX('Prior Year Data Pull'!$A$2:$CB$593,MATCH('Prior Year Data Table'!$C22,'Prior Year Data Pull'!$A$2:$A$593,0),MATCH("Total Operating Revenue",'Prior Year Data Pull'!$A$1:$CB$1,0)),"")</f>
        <v>366116000</v>
      </c>
      <c r="R22" s="38">
        <f>IFERROR(INDEX('Prior Year Data Pull'!$A$2:$CB$593,MATCH('Prior Year Data Table'!$C22,'Prior Year Data Pull'!$A$2:$A$593,0),MATCH("Total Unrestricted Revenue Gains and Other Support",'Prior Year Data Pull'!$A$1:$CB$1,0)),"")</f>
        <v>371699000</v>
      </c>
      <c r="S22" s="38">
        <f>IFERROR(INDEX('Prior Year TS Data Pull'!$K$2:$K$607,MATCH(C22,'Prior Year TS Data Pull'!$A$2:$A$607,0))+INDEX('Prior Year TS Data Pull'!$O$2:$O$119,MATCH(C22,'Prior Year TS Data Pull'!$A$2:$A$607,0))+INDEX('Prior Year TS Data Pull'!$S$2:$S$119,MATCH(C22,'Prior Year TS Data Pull'!$A$2:$A$607,0)),"")</f>
        <v>2978693.75</v>
      </c>
      <c r="T22" s="38">
        <f>IF(INDEX('Prior Year TS Data Pull'!$A$1:$O$607,MATCH(C22,'Prior Year TS Data Pull'!$A$1:$A$607,0),MATCH("Temporary RN Staffing:
Line Reported on in Standardized Financials",'Prior Year TS Data Pull'!$A$1:$O$1,0))="66.1: Salary and Benefit Expense",'Prior Year Data Table'!$AV22-'Prior Year Data Table'!$S22,0)</f>
        <v>0</v>
      </c>
      <c r="U22" s="38">
        <f>IFERROR(INDEX('Prior Year Data Pull'!$A$2:$CB$593,MATCH(C22,'Prior Year Data Pull'!$A$2:$A$593,0),MATCH("Total Expenses Including Nonrecurring Gains Losses",'Prior Year Data Pull'!$A$1:$CB$1,0)),"")</f>
        <v>365333000</v>
      </c>
      <c r="V22" s="41">
        <f t="shared" si="5"/>
        <v>16.225017858560204</v>
      </c>
      <c r="W22" s="41">
        <f t="shared" si="6"/>
        <v>45.782460041516977</v>
      </c>
      <c r="X22" s="41">
        <f t="shared" si="7"/>
        <v>170.70150595065971</v>
      </c>
      <c r="Y22" s="37">
        <f t="shared" si="8"/>
        <v>0.15081935515057765</v>
      </c>
      <c r="Z22" s="41">
        <f t="shared" si="9"/>
        <v>32.153534958353887</v>
      </c>
      <c r="AA22" s="39">
        <f t="shared" si="10"/>
        <v>0.32341330094139081</v>
      </c>
      <c r="AB22" s="37">
        <f t="shared" si="11"/>
        <v>5.4609009451808063E-2</v>
      </c>
      <c r="AC22" s="37">
        <f t="shared" si="12"/>
        <v>0.80579610312930527</v>
      </c>
      <c r="AD22" s="38">
        <f>IFERROR(INDEX('Prior Year Data Pull'!$A$2:$CB$593,MATCH(C22,'Prior Year Data Pull'!$A$2:$A$593,0),MATCH("Net Patient Service Revenue",'Prior Year Data Pull'!$A$1:$CB$1,0)),"")</f>
        <v>311198000</v>
      </c>
      <c r="AE22" s="38">
        <f>IFERROR(INDEX('Prior Year Data Pull'!$A$2:$CB$593,MATCH(C22,'Prior Year Data Pull'!$A$2:$A$593,0),MATCH("Total Current Assets",'Prior Year Data Pull'!$A$1:$CB$1,0)),"")</f>
        <v>156697000</v>
      </c>
      <c r="AF22" s="38">
        <f>IFERROR(INDEX('Prior Year Data Pull'!$A$2:$CB$593,MATCH(C22,'Prior Year Data Pull'!$A$2:$A$593,0),MATCH("Total Current Liabilities",'Prior Year Data Pull'!$A$1:$CB$1,0)),"")</f>
        <v>172470000</v>
      </c>
      <c r="AG22" s="38">
        <f>IFERROR(INDEX('Prior Year Data Pull'!$A$2:$CB$593,MATCH(C22,'Prior Year Data Pull'!$A$2:$A$593,0),MATCH("Total Non Operating Revenue",'Prior Year Data Pull'!$A$1:$CB$1,0)),"")</f>
        <v>5583000</v>
      </c>
      <c r="AH22" s="38">
        <f>IFERROR(INDEX('Prior Year Data Pull'!$A$2:$CB$593,MATCH(C22,'Prior Year Data Pull'!$A$2:$A$593,0),MATCH("Less Accumulated Depreciation",'Prior Year Data Pull'!$A$1:$CB$1,0)),"")</f>
        <v>204419000</v>
      </c>
      <c r="AI22" s="38">
        <f>IFERROR(INDEX('Prior Year Data Pull'!$A$2:$CB$593,MATCH(C22,'Prior Year Data Pull'!$A$2:$A$593,0),MATCH("Depreciation and Amortization Expense",'Prior Year Data Pull'!$A$1:$CB$1,0)),"")</f>
        <v>12599000</v>
      </c>
      <c r="AJ22" s="38">
        <f>IFERROR(INDEX('Prior Year Data Pull'!$A$2:$CB$593,MATCH(C22,'Prior Year Data Pull'!$A$2:$A$593,0),MATCH("Net Patient Accounts Receivable",'Prior Year Data Pull'!$A$1:$CB$1,0)),"")</f>
        <v>39034000</v>
      </c>
      <c r="AK22" s="14">
        <v>365</v>
      </c>
      <c r="AL22" s="38">
        <f>IFERROR(INDEX('Prior Year Data Pull'!$A$2:$CB$593,MATCH(C22,'Prior Year Data Pull'!$A$2:$A$593,0),MATCH("Estimated Third Party Settlements",'Prior Year Data Pull'!$A$1:$CB$1,0)),"")</f>
        <v>7505000</v>
      </c>
      <c r="AM22" s="38">
        <f>IFERROR(INDEX('Prior Year Data Pull'!$A$2:$CB$593,MATCH(C22,'Prior Year Data Pull'!$A$2:$A$593,0),MATCH("Current Liabilities due to Affiliates",'Prior Year Data Pull'!$A$1:$CB$1,0)),"")</f>
        <v>58614000</v>
      </c>
      <c r="AN22" s="38">
        <f>IFERROR(INDEX('Prior Year Data Pull'!$A$2:$CB$593,MATCH(C22,'Prior Year Data Pull'!$A$2:$A$593,0),MATCH("Short Term Investments",'Prior Year Data Pull'!$A$1:$CB$1,0)),"")</f>
        <v>0</v>
      </c>
      <c r="AO22" s="38">
        <f>IFERROR(INDEX('Prior Year Data Pull'!$A$2:$CB$593,MATCH(C22,'Prior Year Data Pull'!$A$2:$A$593,0),MATCH("Cash and Cash Equivalents",'Prior Year Data Pull'!$A$1:$CB$1,0)),"")</f>
        <v>31073000</v>
      </c>
      <c r="AP22" s="38">
        <f>IFERROR(INDEX('Prior Year Data Pull'!$A$2:$CB$593,MATCH(C22,'Prior Year Data Pull'!$A$2:$A$593,0),MATCH("Interest Expense",'Prior Year Data Pull'!$A$1:$CB$1,0)),"")</f>
        <v>3645000</v>
      </c>
      <c r="AQ22" s="38">
        <f>IFERROR(INDEX('Prior Year Data Pull'!$A$2:$CB$593,MATCH(C22,'Prior Year Data Pull'!$A$2:$A$593,0),MATCH("Long Term Debt Net of Current Portion",'Prior Year Data Pull'!$A$1:$CB$1,0)),"")</f>
        <v>65508000</v>
      </c>
      <c r="AR22" s="38">
        <f>IFERROR(INDEX('Prior Year Data Pull'!$A$2:$CB$593,MATCH(C22,'Prior Year Data Pull'!$A$2:$A$593,0),MATCH("Total Assets",'Prior Year Data Pull'!$A$1:$CB$1,0)),"")</f>
        <v>309253000</v>
      </c>
      <c r="AS22" s="38">
        <f>IFERROR(INDEX('Prior Year Data Pull'!$A$2:$CB$593,MATCH(C22,'Prior Year Data Pull'!$A$2:$A$593,0),MATCH("Long Term Debt Net of Current Portion",'Prior Year Data Pull'!$A$1:$CB$1,0)),"")</f>
        <v>65508000</v>
      </c>
      <c r="AT22" s="38">
        <f>IFERROR(INDEX('Prior Year Data Pull'!$A$2:$CB$593,MATCH(C22,'Prior Year Data Pull'!$A$2:$A$593,0),MATCH("Net Unrestricted Assets",'Prior Year Data Pull'!$A$1:$CB$1,0)),"")</f>
        <v>15788000</v>
      </c>
      <c r="AU22" s="38">
        <f>IFERROR(INDEX('Prior Year Data Pull'!$A$2:$CB$593,MATCH(C22,'Prior Year Data Pull'!$A$2:$A$593,0),MATCH("Unrealized Gains/Losses",'Prior Year Data Pull'!$A$1:$CB$1,0)),"")</f>
        <v>245000</v>
      </c>
      <c r="AV22" s="38">
        <f>IFERROR(INDEX('Prior Year Data Pull'!$A$2:$CB$593,MATCH(C22,'Prior Year Data Pull'!$A$2:$A$593,0),MATCH("Salary and Benefit Expense",'Prior Year Data Pull'!$A$1:$CB$1,0)),"")</f>
        <v>164971000</v>
      </c>
    </row>
    <row r="23" spans="1:48" ht="34.200000000000003" x14ac:dyDescent="0.3">
      <c r="A23" s="46" t="str">
        <f>IFERROR(INDEX('Static Data Tab'!$N$2:$N$610,MATCH(D23,'Static Data Tab'!$D$2:$D$610,0)), "")</f>
        <v>Tufts Medicine</v>
      </c>
      <c r="B23" s="46" t="s">
        <v>191</v>
      </c>
      <c r="C23" s="46">
        <v>85</v>
      </c>
      <c r="D23" s="46">
        <v>12775</v>
      </c>
      <c r="E23" s="46" t="str">
        <f>IFERROR(INDEX('Prior Year Data Pull'!$A$1:$CB$593,MATCH(C23,'Prior Year Data Pull'!$A$1:$A$593,0),MATCH("Organization Type",'Prior Year Data Pull'!$A$1:$CB$1,0)),"")</f>
        <v>AcuteHospital</v>
      </c>
      <c r="F23" s="46" t="str">
        <f>IFERROR(INDEX('Static Data Tab'!$E$2:$E$610,MATCH(C23,'Static Data Tab'!$B$2:$B$610,0)), "-")</f>
        <v>Community-High Public Payer Hospital</v>
      </c>
      <c r="G23" s="46" t="str">
        <f>IFERROR(INDEX('Static Data Tab'!$J$2:$J$610,MATCH(C23,'Static Data Tab'!$B$2:$B$610,0)), "")</f>
        <v>Northeastern Massachusetts</v>
      </c>
      <c r="H23" s="46" t="str">
        <f>IFERROR(INDEX('Static Data Tab'!$F$2:$F$610,MATCH(C23,'Static Data Tab'!$B$2:$B$610,0)), "")</f>
        <v>x</v>
      </c>
      <c r="I23" s="46">
        <f>IFERROR(INDEX('Static Data Tab'!$G$2:$G$610,MATCH(C23,'Static Data Tab'!$B$2:$B$610,0)), "")</f>
        <v>0</v>
      </c>
      <c r="J23" s="46" t="str">
        <f>IFERROR(INDEX('Prior Year Data Pull'!$A$2:$CB$593,MATCH(C23,'Prior Year Data Pull'!$A$2:$A$593,0),MATCH("Quarter Range",'Prior Year Data Pull'!$A$1:$CB$1,0)),"")</f>
        <v xml:space="preserve">10/01/2024-09/30/2025
</v>
      </c>
      <c r="K23" s="45">
        <f t="shared" si="0"/>
        <v>5.62535960203802E-2</v>
      </c>
      <c r="L23" s="45">
        <f t="shared" si="1"/>
        <v>-1.1765533014516085E-4</v>
      </c>
      <c r="M23" s="45">
        <f t="shared" si="2"/>
        <v>5.6135940690235038E-2</v>
      </c>
      <c r="N23" s="47">
        <f t="shared" si="3"/>
        <v>39124000</v>
      </c>
      <c r="O23" s="265">
        <f t="shared" si="4"/>
        <v>1.2168248820217553</v>
      </c>
      <c r="P23" s="47">
        <f>IFERROR(INDEX('Prior Year Data Pull'!$A$2:$CB$593,MATCH('Prior Year Data Table'!$C23,'Prior Year Data Pull'!$A$2:$A$593,0),MATCH("Total Net Assets or Equity",'Prior Year Data Pull'!$A$1:$CB$1,0)),"")</f>
        <v>161623000</v>
      </c>
      <c r="Q23" s="47">
        <f>IFERROR(INDEX('Prior Year Data Pull'!$A$2:$CB$593,MATCH('Prior Year Data Table'!$C23,'Prior Year Data Pull'!$A$2:$A$593,0),MATCH("Total Operating Revenue",'Prior Year Data Pull'!$A$1:$CB$1,0)),"")</f>
        <v>697033000</v>
      </c>
      <c r="R23" s="47">
        <f>IFERROR(INDEX('Prior Year Data Pull'!$A$2:$CB$593,MATCH('Prior Year Data Table'!$C23,'Prior Year Data Pull'!$A$2:$A$593,0),MATCH("Total Unrestricted Revenue Gains and Other Support",'Prior Year Data Pull'!$A$1:$CB$1,0)),"")</f>
        <v>696951000</v>
      </c>
      <c r="S23" s="47" t="str">
        <f>IFERROR(INDEX('Prior Year TS Data Pull'!$K$2:$K$607,MATCH(C23,'Prior Year TS Data Pull'!$A$2:$A$607,0))+INDEX('Prior Year TS Data Pull'!$O$2:$O$119,MATCH(C23,'Prior Year TS Data Pull'!$A$2:$A$607,0))+INDEX('Prior Year TS Data Pull'!$S$2:$S$119,MATCH(C23,'Prior Year TS Data Pull'!$A$2:$A$607,0)),"")</f>
        <v/>
      </c>
      <c r="T23" s="47" t="e">
        <f>IF(INDEX('Prior Year TS Data Pull'!$A$1:$O$607,MATCH(C23,'Prior Year TS Data Pull'!$A$1:$A$607,0),MATCH("Temporary RN Staffing:
Line Reported on in Standardized Financials",'Prior Year TS Data Pull'!$A$1:$O$1,0))="66.1: Salary and Benefit Expense",'Prior Year Data Table'!$AV23-'Prior Year Data Table'!$S23,0)</f>
        <v>#N/A</v>
      </c>
      <c r="U23" s="47">
        <f>IFERROR(INDEX('Prior Year Data Pull'!$A$2:$CB$593,MATCH(C23,'Prior Year Data Pull'!$A$2:$A$593,0),MATCH("Total Expenses Including Nonrecurring Gains Losses",'Prior Year Data Pull'!$A$1:$CB$1,0)),"")</f>
        <v>657827000</v>
      </c>
      <c r="V23" s="266">
        <f t="shared" si="5"/>
        <v>17.576446813999485</v>
      </c>
      <c r="W23" s="266">
        <f t="shared" si="6"/>
        <v>41.80254082544846</v>
      </c>
      <c r="X23" s="266">
        <f t="shared" si="7"/>
        <v>58.228569312399436</v>
      </c>
      <c r="Y23" s="45">
        <f t="shared" si="8"/>
        <v>0.85738449576450371</v>
      </c>
      <c r="Z23" s="266">
        <f t="shared" si="9"/>
        <v>2.8075197496253361</v>
      </c>
      <c r="AA23" s="265">
        <f t="shared" si="10"/>
        <v>0.88571157922157884</v>
      </c>
      <c r="AB23" s="45">
        <f t="shared" si="11"/>
        <v>0.43367535861672957</v>
      </c>
      <c r="AC23" s="45">
        <f t="shared" si="12"/>
        <v>0.32337278898215133</v>
      </c>
      <c r="AD23" s="47">
        <f>IFERROR(INDEX('Prior Year Data Pull'!$A$2:$CB$593,MATCH(C23,'Prior Year Data Pull'!$A$2:$A$593,0),MATCH("Net Patient Service Revenue",'Prior Year Data Pull'!$A$1:$CB$1,0)),"")</f>
        <v>656637000</v>
      </c>
      <c r="AE23" s="47">
        <f>IFERROR(INDEX('Prior Year Data Pull'!$A$2:$CB$593,MATCH(C23,'Prior Year Data Pull'!$A$2:$A$593,0),MATCH("Total Current Assets",'Prior Year Data Pull'!$A$1:$CB$1,0)),"")</f>
        <v>133566000</v>
      </c>
      <c r="AF23" s="47">
        <f>IFERROR(INDEX('Prior Year Data Pull'!$A$2:$CB$593,MATCH(C23,'Prior Year Data Pull'!$A$2:$A$593,0),MATCH("Total Current Liabilities",'Prior Year Data Pull'!$A$1:$CB$1,0)),"")</f>
        <v>109766000</v>
      </c>
      <c r="AG23" s="47">
        <f>IFERROR(INDEX('Prior Year Data Pull'!$A$2:$CB$593,MATCH(C23,'Prior Year Data Pull'!$A$2:$A$593,0),MATCH("Total Non Operating Revenue",'Prior Year Data Pull'!$A$1:$CB$1,0)),"")</f>
        <v>-82000</v>
      </c>
      <c r="AH23" s="47">
        <f>IFERROR(INDEX('Prior Year Data Pull'!$A$2:$CB$593,MATCH(C23,'Prior Year Data Pull'!$A$2:$A$593,0),MATCH("Less Accumulated Depreciation",'Prior Year Data Pull'!$A$1:$CB$1,0)),"")</f>
        <v>408793000</v>
      </c>
      <c r="AI23" s="47">
        <f>IFERROR(INDEX('Prior Year Data Pull'!$A$2:$CB$593,MATCH(C23,'Prior Year Data Pull'!$A$2:$A$593,0),MATCH("Depreciation and Amortization Expense",'Prior Year Data Pull'!$A$1:$CB$1,0)),"")</f>
        <v>23258000</v>
      </c>
      <c r="AJ23" s="47">
        <f>IFERROR(INDEX('Prior Year Data Pull'!$A$2:$CB$593,MATCH(C23,'Prior Year Data Pull'!$A$2:$A$593,0),MATCH("Net Patient Accounts Receivable",'Prior Year Data Pull'!$A$1:$CB$1,0)),"")</f>
        <v>75203000</v>
      </c>
      <c r="AK23" s="46">
        <v>365</v>
      </c>
      <c r="AL23" s="47">
        <f>IFERROR(INDEX('Prior Year Data Pull'!$A$2:$CB$593,MATCH(C23,'Prior Year Data Pull'!$A$2:$A$593,0),MATCH("Estimated Third Party Settlements",'Prior Year Data Pull'!$A$1:$CB$1,0)),"")</f>
        <v>8533000</v>
      </c>
      <c r="AM23" s="47">
        <f>IFERROR(INDEX('Prior Year Data Pull'!$A$2:$CB$593,MATCH(C23,'Prior Year Data Pull'!$A$2:$A$593,0),MATCH("Current Liabilities due to Affiliates",'Prior Year Data Pull'!$A$1:$CB$1,0)),"")</f>
        <v>803000</v>
      </c>
      <c r="AN23" s="47">
        <f>IFERROR(INDEX('Prior Year Data Pull'!$A$2:$CB$593,MATCH(C23,'Prior Year Data Pull'!$A$2:$A$593,0),MATCH("Short Term Investments",'Prior Year Data Pull'!$A$1:$CB$1,0)),"")</f>
        <v>0</v>
      </c>
      <c r="AO23" s="47">
        <f>IFERROR(INDEX('Prior Year Data Pull'!$A$2:$CB$593,MATCH(C23,'Prior Year Data Pull'!$A$2:$A$593,0),MATCH("Cash and Cash Equivalents",'Prior Year Data Pull'!$A$1:$CB$1,0)),"")</f>
        <v>4881000</v>
      </c>
      <c r="AP23" s="47">
        <f>IFERROR(INDEX('Prior Year Data Pull'!$A$2:$CB$593,MATCH(C23,'Prior Year Data Pull'!$A$2:$A$593,0),MATCH("Interest Expense",'Prior Year Data Pull'!$A$1:$CB$1,0)),"")</f>
        <v>11947000</v>
      </c>
      <c r="AQ23" s="47">
        <f>IFERROR(INDEX('Prior Year Data Pull'!$A$2:$CB$593,MATCH(C23,'Prior Year Data Pull'!$A$2:$A$593,0),MATCH("Long Term Debt Net of Current Portion",'Prior Year Data Pull'!$A$1:$CB$1,0)),"")</f>
        <v>72506000</v>
      </c>
      <c r="AR23" s="47">
        <f>IFERROR(INDEX('Prior Year Data Pull'!$A$2:$CB$593,MATCH(C23,'Prior Year Data Pull'!$A$2:$A$593,0),MATCH("Total Assets",'Prior Year Data Pull'!$A$1:$CB$1,0)),"")</f>
        <v>372682000</v>
      </c>
      <c r="AS23" s="47">
        <f>IFERROR(INDEX('Prior Year Data Pull'!$A$2:$CB$593,MATCH(C23,'Prior Year Data Pull'!$A$2:$A$593,0),MATCH("Long Term Debt Net of Current Portion",'Prior Year Data Pull'!$A$1:$CB$1,0)),"")</f>
        <v>72506000</v>
      </c>
      <c r="AT23" s="47">
        <f>IFERROR(INDEX('Prior Year Data Pull'!$A$2:$CB$593,MATCH(C23,'Prior Year Data Pull'!$A$2:$A$593,0),MATCH("Net Unrestricted Assets",'Prior Year Data Pull'!$A$1:$CB$1,0)),"")</f>
        <v>151712000</v>
      </c>
      <c r="AU23" s="47">
        <f>IFERROR(INDEX('Prior Year Data Pull'!$A$2:$CB$593,MATCH(C23,'Prior Year Data Pull'!$A$2:$A$593,0),MATCH("Unrealized Gains/Losses",'Prior Year Data Pull'!$A$1:$CB$1,0)),"")</f>
        <v>-472000</v>
      </c>
      <c r="AV23" s="47">
        <f>IFERROR(INDEX('Prior Year Data Pull'!$A$2:$CB$593,MATCH(C23,'Prior Year Data Pull'!$A$2:$A$593,0),MATCH("Salary and Benefit Expense",'Prior Year Data Pull'!$A$1:$CB$1,0)),"")</f>
        <v>297340000</v>
      </c>
    </row>
    <row r="24" spans="1:48" ht="34.200000000000003" x14ac:dyDescent="0.3">
      <c r="A24" s="14" t="str">
        <f>IFERROR(INDEX('Static Data Tab'!$N$2:$N$610,MATCH(D24,'Static Data Tab'!$D$2:$D$610,0)), "")</f>
        <v>Mass General Brigham</v>
      </c>
      <c r="B24" s="14" t="s">
        <v>145</v>
      </c>
      <c r="C24" s="14">
        <v>88</v>
      </c>
      <c r="D24" s="14">
        <v>3791</v>
      </c>
      <c r="E24" s="14" t="str">
        <f>IFERROR(INDEX('Prior Year Data Pull'!$A$1:$CB$593,MATCH(C24,'Prior Year Data Pull'!$A$1:$A$593,0),MATCH("Organization Type",'Prior Year Data Pull'!$A$1:$CB$1,0)),"")</f>
        <v>AcuteHospital</v>
      </c>
      <c r="F24" s="14" t="str">
        <f>IFERROR(INDEX('Static Data Tab'!$E$2:$E$610,MATCH(C24,'Static Data Tab'!$B$2:$B$610,0)), "-")</f>
        <v>Community-High Public Payer Hospital</v>
      </c>
      <c r="G24" s="14" t="str">
        <f>IFERROR(INDEX('Static Data Tab'!$J$2:$J$610,MATCH(C24,'Static Data Tab'!$B$2:$B$610,0)), "")</f>
        <v>Cape and Islands</v>
      </c>
      <c r="H24" s="14">
        <f>IFERROR(INDEX('Static Data Tab'!$F$2:$F$610,MATCH(C24,'Static Data Tab'!$B$2:$B$610,0)), "")</f>
        <v>0</v>
      </c>
      <c r="I24" s="14">
        <f>IFERROR(INDEX('Static Data Tab'!$G$2:$G$610,MATCH(C24,'Static Data Tab'!$B$2:$B$610,0)), "")</f>
        <v>0</v>
      </c>
      <c r="J24" s="14" t="str">
        <f>IFERROR(INDEX('Prior Year Data Pull'!$A$2:$CB$593,MATCH(C24,'Prior Year Data Pull'!$A$2:$A$593,0),MATCH("Quarter Range",'Prior Year Data Pull'!$A$1:$CB$1,0)),"")</f>
        <v xml:space="preserve">10/01/2024-09/30/2025
</v>
      </c>
      <c r="K24" s="37">
        <f t="shared" si="0"/>
        <v>4.3031824068025804E-3</v>
      </c>
      <c r="L24" s="37">
        <f t="shared" si="1"/>
        <v>5.6531554761004341E-2</v>
      </c>
      <c r="M24" s="37">
        <f t="shared" si="2"/>
        <v>6.0834737167806921E-2</v>
      </c>
      <c r="N24" s="38">
        <f t="shared" si="3"/>
        <v>10617000</v>
      </c>
      <c r="O24" s="39">
        <f t="shared" si="4"/>
        <v>2.3249660265121408</v>
      </c>
      <c r="P24" s="38">
        <f>IFERROR(INDEX('Prior Year Data Pull'!$A$2:$CB$593,MATCH('Prior Year Data Table'!$C24,'Prior Year Data Pull'!$A$2:$A$593,0),MATCH("Total Net Assets or Equity",'Prior Year Data Pull'!$A$1:$CB$1,0)),"")</f>
        <v>218586000</v>
      </c>
      <c r="Q24" s="38">
        <f>IFERROR(INDEX('Prior Year Data Pull'!$A$2:$CB$593,MATCH('Prior Year Data Table'!$C24,'Prior Year Data Pull'!$A$2:$A$593,0),MATCH("Total Operating Revenue",'Prior Year Data Pull'!$A$1:$CB$1,0)),"")</f>
        <v>164656000</v>
      </c>
      <c r="R24" s="38">
        <f>IFERROR(INDEX('Prior Year Data Pull'!$A$2:$CB$593,MATCH('Prior Year Data Table'!$C24,'Prior Year Data Pull'!$A$2:$A$593,0),MATCH("Total Unrestricted Revenue Gains and Other Support",'Prior Year Data Pull'!$A$1:$CB$1,0)),"")</f>
        <v>174522000</v>
      </c>
      <c r="S24" s="38">
        <f>IFERROR(INDEX('Prior Year TS Data Pull'!$K$2:$K$607,MATCH(C24,'Prior Year TS Data Pull'!$A$2:$A$607,0))+INDEX('Prior Year TS Data Pull'!$O$2:$O$119,MATCH(C24,'Prior Year TS Data Pull'!$A$2:$A$607,0))+INDEX('Prior Year TS Data Pull'!$S$2:$S$119,MATCH(C24,'Prior Year TS Data Pull'!$A$2:$A$607,0)),"")</f>
        <v>3731743.16666666</v>
      </c>
      <c r="T24" s="38">
        <f>IF(INDEX('Prior Year TS Data Pull'!$A$1:$O$607,MATCH(C24,'Prior Year TS Data Pull'!$A$1:$A$607,0),MATCH("Temporary RN Staffing:
Line Reported on in Standardized Financials",'Prior Year TS Data Pull'!$A$1:$O$1,0))="66.1: Salary and Benefit Expense",'Prior Year Data Table'!$AV24-'Prior Year Data Table'!$S24,0)</f>
        <v>0</v>
      </c>
      <c r="U24" s="38">
        <f>IFERROR(INDEX('Prior Year Data Pull'!$A$2:$CB$593,MATCH(C24,'Prior Year Data Pull'!$A$2:$A$593,0),MATCH("Total Expenses Including Nonrecurring Gains Losses",'Prior Year Data Pull'!$A$1:$CB$1,0)),"")</f>
        <v>163905000</v>
      </c>
      <c r="V24" s="41">
        <f t="shared" si="5"/>
        <v>11.862475442043221</v>
      </c>
      <c r="W24" s="41">
        <f t="shared" si="6"/>
        <v>48.055302626273139</v>
      </c>
      <c r="X24" s="41">
        <f t="shared" si="7"/>
        <v>61.783593465961637</v>
      </c>
      <c r="Y24" s="37">
        <f t="shared" si="8"/>
        <v>1.1462376574736126</v>
      </c>
      <c r="Z24" s="41">
        <f t="shared" si="9"/>
        <v>104.71874421957023</v>
      </c>
      <c r="AA24" s="39">
        <f t="shared" si="10"/>
        <v>23.347150259067359</v>
      </c>
      <c r="AB24" s="37">
        <f t="shared" si="11"/>
        <v>0.81303770489974003</v>
      </c>
      <c r="AC24" s="37">
        <f t="shared" si="12"/>
        <v>2.7878730168806503E-3</v>
      </c>
      <c r="AD24" s="38">
        <f>IFERROR(INDEX('Prior Year Data Pull'!$A$2:$CB$593,MATCH(C24,'Prior Year Data Pull'!$A$2:$A$593,0),MATCH("Net Patient Service Revenue",'Prior Year Data Pull'!$A$1:$CB$1,0)),"")</f>
        <v>153754000</v>
      </c>
      <c r="AE24" s="38">
        <f>IFERROR(INDEX('Prior Year Data Pull'!$A$2:$CB$593,MATCH(C24,'Prior Year Data Pull'!$A$2:$A$593,0),MATCH("Total Current Assets",'Prior Year Data Pull'!$A$1:$CB$1,0)),"")</f>
        <v>90676000</v>
      </c>
      <c r="AF24" s="38">
        <f>IFERROR(INDEX('Prior Year Data Pull'!$A$2:$CB$593,MATCH(C24,'Prior Year Data Pull'!$A$2:$A$593,0),MATCH("Total Current Liabilities",'Prior Year Data Pull'!$A$1:$CB$1,0)),"")</f>
        <v>39001000</v>
      </c>
      <c r="AG24" s="38">
        <f>IFERROR(INDEX('Prior Year Data Pull'!$A$2:$CB$593,MATCH(C24,'Prior Year Data Pull'!$A$2:$A$593,0),MATCH("Total Non Operating Revenue",'Prior Year Data Pull'!$A$1:$CB$1,0)),"")</f>
        <v>9866000</v>
      </c>
      <c r="AH24" s="38">
        <f>IFERROR(INDEX('Prior Year Data Pull'!$A$2:$CB$593,MATCH(C24,'Prior Year Data Pull'!$A$2:$A$593,0),MATCH("Less Accumulated Depreciation",'Prior Year Data Pull'!$A$1:$CB$1,0)),"")</f>
        <v>84532000</v>
      </c>
      <c r="AI24" s="38">
        <f>IFERROR(INDEX('Prior Year Data Pull'!$A$2:$CB$593,MATCH(C24,'Prior Year Data Pull'!$A$2:$A$593,0),MATCH("Depreciation and Amortization Expense",'Prior Year Data Pull'!$A$1:$CB$1,0)),"")</f>
        <v>7126000</v>
      </c>
      <c r="AJ24" s="38">
        <f>IFERROR(INDEX('Prior Year Data Pull'!$A$2:$CB$593,MATCH(C24,'Prior Year Data Pull'!$A$2:$A$593,0),MATCH("Net Patient Accounts Receivable",'Prior Year Data Pull'!$A$1:$CB$1,0)),"")</f>
        <v>20243000</v>
      </c>
      <c r="AK24" s="14">
        <v>365</v>
      </c>
      <c r="AL24" s="38">
        <f>IFERROR(INDEX('Prior Year Data Pull'!$A$2:$CB$593,MATCH(C24,'Prior Year Data Pull'!$A$2:$A$593,0),MATCH("Estimated Third Party Settlements",'Prior Year Data Pull'!$A$1:$CB$1,0)),"")</f>
        <v>12463000</v>
      </c>
      <c r="AM24" s="38">
        <f>IFERROR(INDEX('Prior Year Data Pull'!$A$2:$CB$593,MATCH(C24,'Prior Year Data Pull'!$A$2:$A$593,0),MATCH("Current Liabilities due to Affiliates",'Prior Year Data Pull'!$A$1:$CB$1,0)),"")</f>
        <v>11221000</v>
      </c>
      <c r="AN24" s="38">
        <f>IFERROR(INDEX('Prior Year Data Pull'!$A$2:$CB$593,MATCH(C24,'Prior Year Data Pull'!$A$2:$A$593,0),MATCH("Short Term Investments",'Prior Year Data Pull'!$A$1:$CB$1,0)),"")</f>
        <v>42486000</v>
      </c>
      <c r="AO24" s="38">
        <f>IFERROR(INDEX('Prior Year Data Pull'!$A$2:$CB$593,MATCH(C24,'Prior Year Data Pull'!$A$2:$A$593,0),MATCH("Cash and Cash Equivalents",'Prior Year Data Pull'!$A$1:$CB$1,0)),"")</f>
        <v>2494000</v>
      </c>
      <c r="AP24" s="38">
        <f>IFERROR(INDEX('Prior Year Data Pull'!$A$2:$CB$593,MATCH(C24,'Prior Year Data Pull'!$A$2:$A$593,0),MATCH("Interest Expense",'Prior Year Data Pull'!$A$1:$CB$1,0)),"")</f>
        <v>52000</v>
      </c>
      <c r="AQ24" s="38">
        <f>IFERROR(INDEX('Prior Year Data Pull'!$A$2:$CB$593,MATCH(C24,'Prior Year Data Pull'!$A$2:$A$593,0),MATCH("Long Term Debt Net of Current Portion",'Prior Year Data Pull'!$A$1:$CB$1,0)),"")</f>
        <v>527000</v>
      </c>
      <c r="AR24" s="38">
        <f>IFERROR(INDEX('Prior Year Data Pull'!$A$2:$CB$593,MATCH(C24,'Prior Year Data Pull'!$A$2:$A$593,0),MATCH("Total Assets",'Prior Year Data Pull'!$A$1:$CB$1,0)),"")</f>
        <v>268851000</v>
      </c>
      <c r="AS24" s="38">
        <f>IFERROR(INDEX('Prior Year Data Pull'!$A$2:$CB$593,MATCH(C24,'Prior Year Data Pull'!$A$2:$A$593,0),MATCH("Long Term Debt Net of Current Portion",'Prior Year Data Pull'!$A$1:$CB$1,0)),"")</f>
        <v>527000</v>
      </c>
      <c r="AT24" s="38">
        <f>IFERROR(INDEX('Prior Year Data Pull'!$A$2:$CB$593,MATCH(C24,'Prior Year Data Pull'!$A$2:$A$593,0),MATCH("Net Unrestricted Assets",'Prior Year Data Pull'!$A$1:$CB$1,0)),"")</f>
        <v>188506000</v>
      </c>
      <c r="AU24" s="38">
        <f>IFERROR(INDEX('Prior Year Data Pull'!$A$2:$CB$593,MATCH(C24,'Prior Year Data Pull'!$A$2:$A$593,0),MATCH("Unrealized Gains/Losses",'Prior Year Data Pull'!$A$1:$CB$1,0)),"")</f>
        <v>4277000</v>
      </c>
      <c r="AV24" s="38">
        <f>IFERROR(INDEX('Prior Year Data Pull'!$A$2:$CB$593,MATCH(C24,'Prior Year Data Pull'!$A$2:$A$593,0),MATCH("Salary and Benefit Expense",'Prior Year Data Pull'!$A$1:$CB$1,0)),"")</f>
        <v>97463000</v>
      </c>
    </row>
    <row r="25" spans="1:48" ht="34.200000000000003" x14ac:dyDescent="0.3">
      <c r="A25" s="46" t="str">
        <f>IFERROR(INDEX('Static Data Tab'!$N$2:$N$610,MATCH(D25,'Static Data Tab'!$D$2:$D$610,0)), "")</f>
        <v>Mass General Brigham</v>
      </c>
      <c r="B25" s="46" t="s">
        <v>146</v>
      </c>
      <c r="C25" s="46">
        <v>89</v>
      </c>
      <c r="D25" s="46">
        <v>3791</v>
      </c>
      <c r="E25" s="46" t="str">
        <f>IFERROR(INDEX('Prior Year Data Pull'!$A$1:$CB$593,MATCH(C25,'Prior Year Data Pull'!$A$1:$A$593,0),MATCH("Organization Type",'Prior Year Data Pull'!$A$1:$CB$1,0)),"")</f>
        <v>AcuteHospital</v>
      </c>
      <c r="F25" s="46" t="str">
        <f>IFERROR(INDEX('Static Data Tab'!$E$2:$E$610,MATCH(C25,'Static Data Tab'!$B$2:$B$610,0)), "-")</f>
        <v>Specialty Hospital</v>
      </c>
      <c r="G25" s="46" t="str">
        <f>IFERROR(INDEX('Static Data Tab'!$J$2:$J$610,MATCH(C25,'Static Data Tab'!$B$2:$B$610,0)), "")</f>
        <v>Metro Boston</v>
      </c>
      <c r="H25" s="46">
        <f>IFERROR(INDEX('Static Data Tab'!$F$2:$F$610,MATCH(C25,'Static Data Tab'!$B$2:$B$610,0)), "")</f>
        <v>0</v>
      </c>
      <c r="I25" s="46" t="str">
        <f>IFERROR(INDEX('Static Data Tab'!$G$2:$G$610,MATCH(C25,'Static Data Tab'!$B$2:$B$610,0)), "")</f>
        <v>x</v>
      </c>
      <c r="J25" s="46" t="str">
        <f>IFERROR(INDEX('Prior Year Data Pull'!$A$2:$CB$593,MATCH(C25,'Prior Year Data Pull'!$A$2:$A$593,0),MATCH("Quarter Range",'Prior Year Data Pull'!$A$1:$CB$1,0)),"")</f>
        <v xml:space="preserve">10/01/2024-09/30/2025
</v>
      </c>
      <c r="K25" s="45">
        <f t="shared" si="0"/>
        <v>2.8413358322606587E-2</v>
      </c>
      <c r="L25" s="45">
        <f t="shared" si="1"/>
        <v>3.4572089508433878E-3</v>
      </c>
      <c r="M25" s="45">
        <f t="shared" si="2"/>
        <v>3.1870567273449973E-2</v>
      </c>
      <c r="N25" s="47">
        <f t="shared" si="3"/>
        <v>13791000</v>
      </c>
      <c r="O25" s="265">
        <f t="shared" si="4"/>
        <v>0.28123572170301142</v>
      </c>
      <c r="P25" s="47">
        <f>IFERROR(INDEX('Prior Year Data Pull'!$A$2:$CB$593,MATCH('Prior Year Data Table'!$C25,'Prior Year Data Pull'!$A$2:$A$593,0),MATCH("Total Net Assets or Equity",'Prior Year Data Pull'!$A$1:$CB$1,0)),"")</f>
        <v>41915000</v>
      </c>
      <c r="Q25" s="47">
        <f>IFERROR(INDEX('Prior Year Data Pull'!$A$2:$CB$593,MATCH('Prior Year Data Table'!$C25,'Prior Year Data Pull'!$A$2:$A$593,0),MATCH("Total Operating Revenue",'Prior Year Data Pull'!$A$1:$CB$1,0)),"")</f>
        <v>431223000</v>
      </c>
      <c r="R25" s="47">
        <f>IFERROR(INDEX('Prior Year Data Pull'!$A$2:$CB$593,MATCH('Prior Year Data Table'!$C25,'Prior Year Data Pull'!$A$2:$A$593,0),MATCH("Total Unrestricted Revenue Gains and Other Support",'Prior Year Data Pull'!$A$1:$CB$1,0)),"")</f>
        <v>432719000</v>
      </c>
      <c r="S25" s="47">
        <f>IFERROR(INDEX('Prior Year TS Data Pull'!$K$2:$K$607,MATCH(C25,'Prior Year TS Data Pull'!$A$2:$A$607,0))+INDEX('Prior Year TS Data Pull'!$O$2:$O$119,MATCH(C25,'Prior Year TS Data Pull'!$A$2:$A$607,0))+INDEX('Prior Year TS Data Pull'!$S$2:$S$119,MATCH(C25,'Prior Year TS Data Pull'!$A$2:$A$607,0)),"")</f>
        <v>839815.14947004244</v>
      </c>
      <c r="T25" s="47">
        <f>IF(INDEX('Prior Year TS Data Pull'!$A$1:$O$607,MATCH(C25,'Prior Year TS Data Pull'!$A$1:$A$607,0),MATCH("Temporary RN Staffing:
Line Reported on in Standardized Financials",'Prior Year TS Data Pull'!$A$1:$O$1,0))="66.1: Salary and Benefit Expense",'Prior Year Data Table'!$AV25-'Prior Year Data Table'!$S25,0)</f>
        <v>0</v>
      </c>
      <c r="U25" s="47">
        <f>IFERROR(INDEX('Prior Year Data Pull'!$A$2:$CB$593,MATCH(C25,'Prior Year Data Pull'!$A$2:$A$593,0),MATCH("Total Expenses Including Nonrecurring Gains Losses",'Prior Year Data Pull'!$A$1:$CB$1,0)),"")</f>
        <v>418928000</v>
      </c>
      <c r="V25" s="266">
        <f t="shared" si="5"/>
        <v>9.0249208201366891</v>
      </c>
      <c r="W25" s="266">
        <f t="shared" si="6"/>
        <v>36.403418857559117</v>
      </c>
      <c r="X25" s="266">
        <f t="shared" si="7"/>
        <v>87.296230743520411</v>
      </c>
      <c r="Y25" s="45">
        <f t="shared" si="8"/>
        <v>0.24799680609643349</v>
      </c>
      <c r="Z25" s="266">
        <f t="shared" si="9"/>
        <v>-66.8388482067799</v>
      </c>
      <c r="AA25" s="265">
        <f t="shared" si="10"/>
        <v>0.3647566960647603</v>
      </c>
      <c r="AB25" s="45">
        <f t="shared" si="11"/>
        <v>0.14226655760073043</v>
      </c>
      <c r="AC25" s="45">
        <f t="shared" si="12"/>
        <v>0.7233494363929146</v>
      </c>
      <c r="AD25" s="47">
        <f>IFERROR(INDEX('Prior Year Data Pull'!$A$2:$CB$593,MATCH(C25,'Prior Year Data Pull'!$A$2:$A$593,0),MATCH("Net Patient Service Revenue",'Prior Year Data Pull'!$A$1:$CB$1,0)),"")</f>
        <v>347309000</v>
      </c>
      <c r="AE25" s="47">
        <f>IFERROR(INDEX('Prior Year Data Pull'!$A$2:$CB$593,MATCH(C25,'Prior Year Data Pull'!$A$2:$A$593,0),MATCH("Total Current Assets",'Prior Year Data Pull'!$A$1:$CB$1,0)),"")</f>
        <v>27083000</v>
      </c>
      <c r="AF25" s="47">
        <f>IFERROR(INDEX('Prior Year Data Pull'!$A$2:$CB$593,MATCH(C25,'Prior Year Data Pull'!$A$2:$A$593,0),MATCH("Total Current Liabilities",'Prior Year Data Pull'!$A$1:$CB$1,0)),"")</f>
        <v>96300000</v>
      </c>
      <c r="AG25" s="47">
        <f>IFERROR(INDEX('Prior Year Data Pull'!$A$2:$CB$593,MATCH(C25,'Prior Year Data Pull'!$A$2:$A$593,0),MATCH("Total Non Operating Revenue",'Prior Year Data Pull'!$A$1:$CB$1,0)),"")</f>
        <v>1496000</v>
      </c>
      <c r="AH25" s="47">
        <f>IFERROR(INDEX('Prior Year Data Pull'!$A$2:$CB$593,MATCH(C25,'Prior Year Data Pull'!$A$2:$A$593,0),MATCH("Less Accumulated Depreciation",'Prior Year Data Pull'!$A$1:$CB$1,0)),"")</f>
        <v>216562000</v>
      </c>
      <c r="AI25" s="47">
        <f>IFERROR(INDEX('Prior Year Data Pull'!$A$2:$CB$593,MATCH(C25,'Prior Year Data Pull'!$A$2:$A$593,0),MATCH("Depreciation and Amortization Expense",'Prior Year Data Pull'!$A$1:$CB$1,0)),"")</f>
        <v>23996000</v>
      </c>
      <c r="AJ25" s="47">
        <f>IFERROR(INDEX('Prior Year Data Pull'!$A$2:$CB$593,MATCH(C25,'Prior Year Data Pull'!$A$2:$A$593,0),MATCH("Net Patient Accounts Receivable",'Prior Year Data Pull'!$A$1:$CB$1,0)),"")</f>
        <v>34639000</v>
      </c>
      <c r="AK25" s="46">
        <v>365</v>
      </c>
      <c r="AL25" s="47">
        <f>IFERROR(INDEX('Prior Year Data Pull'!$A$2:$CB$593,MATCH(C25,'Prior Year Data Pull'!$A$2:$A$593,0),MATCH("Estimated Third Party Settlements",'Prior Year Data Pull'!$A$1:$CB$1,0)),"")</f>
        <v>1845000</v>
      </c>
      <c r="AM25" s="47">
        <f>IFERROR(INDEX('Prior Year Data Pull'!$A$2:$CB$593,MATCH(C25,'Prior Year Data Pull'!$A$2:$A$593,0),MATCH("Current Liabilities due to Affiliates",'Prior Year Data Pull'!$A$1:$CB$1,0)),"")</f>
        <v>37210000</v>
      </c>
      <c r="AN25" s="47">
        <f>IFERROR(INDEX('Prior Year Data Pull'!$A$2:$CB$593,MATCH(C25,'Prior Year Data Pull'!$A$2:$A$593,0),MATCH("Short Term Investments",'Prior Year Data Pull'!$A$1:$CB$1,0)),"")</f>
        <v>-29902000</v>
      </c>
      <c r="AO25" s="47">
        <f>IFERROR(INDEX('Prior Year Data Pull'!$A$2:$CB$593,MATCH(C25,'Prior Year Data Pull'!$A$2:$A$593,0),MATCH("Cash and Cash Equivalents",'Prior Year Data Pull'!$A$1:$CB$1,0)),"")</f>
        <v>-42418000</v>
      </c>
      <c r="AP25" s="47">
        <f>IFERROR(INDEX('Prior Year Data Pull'!$A$2:$CB$593,MATCH(C25,'Prior Year Data Pull'!$A$2:$A$593,0),MATCH("Interest Expense",'Prior Year Data Pull'!$A$1:$CB$1,0)),"")</f>
        <v>4876000</v>
      </c>
      <c r="AQ25" s="47">
        <f>IFERROR(INDEX('Prior Year Data Pull'!$A$2:$CB$593,MATCH(C25,'Prior Year Data Pull'!$A$2:$A$593,0),MATCH("Long Term Debt Net of Current Portion",'Prior Year Data Pull'!$A$1:$CB$1,0)),"")</f>
        <v>105562000</v>
      </c>
      <c r="AR25" s="47">
        <f>IFERROR(INDEX('Prior Year Data Pull'!$A$2:$CB$593,MATCH(C25,'Prior Year Data Pull'!$A$2:$A$593,0),MATCH("Total Assets",'Prior Year Data Pull'!$A$1:$CB$1,0)),"")</f>
        <v>294623000</v>
      </c>
      <c r="AS25" s="47">
        <f>IFERROR(INDEX('Prior Year Data Pull'!$A$2:$CB$593,MATCH(C25,'Prior Year Data Pull'!$A$2:$A$593,0),MATCH("Long Term Debt Net of Current Portion",'Prior Year Data Pull'!$A$1:$CB$1,0)),"")</f>
        <v>105562000</v>
      </c>
      <c r="AT25" s="47">
        <f>IFERROR(INDEX('Prior Year Data Pull'!$A$2:$CB$593,MATCH(C25,'Prior Year Data Pull'!$A$2:$A$593,0),MATCH("Net Unrestricted Assets",'Prior Year Data Pull'!$A$1:$CB$1,0)),"")</f>
        <v>40373000</v>
      </c>
      <c r="AU25" s="47">
        <f>IFERROR(INDEX('Prior Year Data Pull'!$A$2:$CB$593,MATCH(C25,'Prior Year Data Pull'!$A$2:$A$593,0),MATCH("Unrealized Gains/Losses",'Prior Year Data Pull'!$A$1:$CB$1,0)),"")</f>
        <v>2380000</v>
      </c>
      <c r="AV25" s="47">
        <f>IFERROR(INDEX('Prior Year Data Pull'!$A$2:$CB$593,MATCH(C25,'Prior Year Data Pull'!$A$2:$A$593,0),MATCH("Salary and Benefit Expense",'Prior Year Data Pull'!$A$1:$CB$1,0)),"")</f>
        <v>139054000</v>
      </c>
    </row>
    <row r="26" spans="1:48" ht="34.200000000000003" x14ac:dyDescent="0.3">
      <c r="A26" s="14" t="str">
        <f>IFERROR(INDEX('Static Data Tab'!$N$2:$N$610,MATCH(D26,'Static Data Tab'!$D$2:$D$610,0)), "")</f>
        <v>Mass General Brigham</v>
      </c>
      <c r="B26" s="14" t="s">
        <v>147</v>
      </c>
      <c r="C26" s="14">
        <v>91</v>
      </c>
      <c r="D26" s="14">
        <v>3791</v>
      </c>
      <c r="E26" s="14" t="str">
        <f>IFERROR(INDEX('Prior Year Data Pull'!$A$1:$CB$593,MATCH(C26,'Prior Year Data Pull'!$A$1:$A$593,0),MATCH("Organization Type",'Prior Year Data Pull'!$A$1:$CB$1,0)),"")</f>
        <v>AcuteHospital</v>
      </c>
      <c r="F26" s="14" t="str">
        <f>IFERROR(INDEX('Static Data Tab'!$E$2:$E$610,MATCH(C26,'Static Data Tab'!$B$2:$B$610,0)), "-")</f>
        <v>Academic Medical Center</v>
      </c>
      <c r="G26" s="14" t="str">
        <f>IFERROR(INDEX('Static Data Tab'!$J$2:$J$610,MATCH(C26,'Static Data Tab'!$B$2:$B$610,0)), "")</f>
        <v>Metro Boston</v>
      </c>
      <c r="H26" s="14">
        <f>IFERROR(INDEX('Static Data Tab'!$F$2:$F$610,MATCH(C26,'Static Data Tab'!$B$2:$B$610,0)), "")</f>
        <v>0</v>
      </c>
      <c r="I26" s="14" t="str">
        <f>IFERROR(INDEX('Static Data Tab'!$G$2:$G$610,MATCH(C26,'Static Data Tab'!$B$2:$B$610,0)), "")</f>
        <v>x</v>
      </c>
      <c r="J26" s="14" t="str">
        <f>IFERROR(INDEX('Prior Year Data Pull'!$A$2:$CB$593,MATCH(C26,'Prior Year Data Pull'!$A$2:$A$593,0),MATCH("Quarter Range",'Prior Year Data Pull'!$A$1:$CB$1,0)),"")</f>
        <v xml:space="preserve">10/01/2024-09/30/2025
</v>
      </c>
      <c r="K26" s="37">
        <f t="shared" si="0"/>
        <v>4.9256527791773107E-2</v>
      </c>
      <c r="L26" s="37">
        <f t="shared" si="1"/>
        <v>4.0386182144648994E-2</v>
      </c>
      <c r="M26" s="37">
        <f t="shared" si="2"/>
        <v>8.9642709936422107E-2</v>
      </c>
      <c r="N26" s="38">
        <f t="shared" si="3"/>
        <v>678772000</v>
      </c>
      <c r="O26" s="39">
        <f t="shared" si="4"/>
        <v>1.3286988993248074</v>
      </c>
      <c r="P26" s="38">
        <f>IFERROR(INDEX('Prior Year Data Pull'!$A$2:$CB$593,MATCH('Prior Year Data Table'!$C26,'Prior Year Data Pull'!$A$2:$A$593,0),MATCH("Total Net Assets or Equity",'Prior Year Data Pull'!$A$1:$CB$1,0)),"")</f>
        <v>7393063000</v>
      </c>
      <c r="Q26" s="38">
        <f>IFERROR(INDEX('Prior Year Data Pull'!$A$2:$CB$593,MATCH('Prior Year Data Table'!$C26,'Prior Year Data Pull'!$A$2:$A$593,0),MATCH("Total Operating Revenue",'Prior Year Data Pull'!$A$1:$CB$1,0)),"")</f>
        <v>7266168000</v>
      </c>
      <c r="R26" s="38">
        <f>IFERROR(INDEX('Prior Year Data Pull'!$A$2:$CB$593,MATCH('Prior Year Data Table'!$C26,'Prior Year Data Pull'!$A$2:$A$593,0),MATCH("Total Unrestricted Revenue Gains and Other Support",'Prior Year Data Pull'!$A$1:$CB$1,0)),"")</f>
        <v>7571971000</v>
      </c>
      <c r="S26" s="38">
        <f>IFERROR(INDEX('Prior Year TS Data Pull'!$K$2:$K$607,MATCH(C26,'Prior Year TS Data Pull'!$A$2:$A$607,0))+INDEX('Prior Year TS Data Pull'!$O$2:$O$119,MATCH(C26,'Prior Year TS Data Pull'!$A$2:$A$607,0))+INDEX('Prior Year TS Data Pull'!$S$2:$S$119,MATCH(C26,'Prior Year TS Data Pull'!$A$2:$A$607,0)),"")</f>
        <v>12954423.503564022</v>
      </c>
      <c r="T26" s="38">
        <f>IF(INDEX('Prior Year TS Data Pull'!$A$1:$O$607,MATCH(C26,'Prior Year TS Data Pull'!$A$1:$A$607,0),MATCH("Temporary RN Staffing:
Line Reported on in Standardized Financials",'Prior Year TS Data Pull'!$A$1:$O$1,0))="66.1: Salary and Benefit Expense",'Prior Year Data Table'!$AV26-'Prior Year Data Table'!$S26,0)</f>
        <v>0</v>
      </c>
      <c r="U26" s="38">
        <f>IFERROR(INDEX('Prior Year Data Pull'!$A$2:$CB$593,MATCH(C26,'Prior Year Data Pull'!$A$2:$A$593,0),MATCH("Total Expenses Including Nonrecurring Gains Losses",'Prior Year Data Pull'!$A$1:$CB$1,0)),"")</f>
        <v>6893199000</v>
      </c>
      <c r="V26" s="41">
        <f t="shared" si="5"/>
        <v>11.427852733509638</v>
      </c>
      <c r="W26" s="41">
        <f t="shared" si="6"/>
        <v>49.279414346516731</v>
      </c>
      <c r="X26" s="41">
        <f t="shared" si="7"/>
        <v>78.591110914350153</v>
      </c>
      <c r="Y26" s="37">
        <f t="shared" si="8"/>
        <v>0.50141147158654287</v>
      </c>
      <c r="Z26" s="41">
        <f t="shared" si="9"/>
        <v>9.5036940022023781</v>
      </c>
      <c r="AA26" s="39">
        <f t="shared" si="10"/>
        <v>0.73276442160641098</v>
      </c>
      <c r="AB26" s="37">
        <f t="shared" si="11"/>
        <v>0.68889785296419237</v>
      </c>
      <c r="AC26" s="37">
        <f t="shared" si="12"/>
        <v>0.20645487402968565</v>
      </c>
      <c r="AD26" s="38">
        <f>IFERROR(INDEX('Prior Year Data Pull'!$A$2:$CB$593,MATCH(C26,'Prior Year Data Pull'!$A$2:$A$593,0),MATCH("Net Patient Service Revenue",'Prior Year Data Pull'!$A$1:$CB$1,0)),"")</f>
        <v>4454238000</v>
      </c>
      <c r="AE26" s="38">
        <f>IFERROR(INDEX('Prior Year Data Pull'!$A$2:$CB$593,MATCH(C26,'Prior Year Data Pull'!$A$2:$A$593,0),MATCH("Total Current Assets",'Prior Year Data Pull'!$A$1:$CB$1,0)),"")</f>
        <v>1919275000</v>
      </c>
      <c r="AF26" s="38">
        <f>IFERROR(INDEX('Prior Year Data Pull'!$A$2:$CB$593,MATCH(C26,'Prior Year Data Pull'!$A$2:$A$593,0),MATCH("Total Current Liabilities",'Prior Year Data Pull'!$A$1:$CB$1,0)),"")</f>
        <v>1444477000</v>
      </c>
      <c r="AG26" s="38">
        <f>IFERROR(INDEX('Prior Year Data Pull'!$A$2:$CB$593,MATCH(C26,'Prior Year Data Pull'!$A$2:$A$593,0),MATCH("Total Non Operating Revenue",'Prior Year Data Pull'!$A$1:$CB$1,0)),"")</f>
        <v>305803000</v>
      </c>
      <c r="AH26" s="38">
        <f>IFERROR(INDEX('Prior Year Data Pull'!$A$2:$CB$593,MATCH(C26,'Prior Year Data Pull'!$A$2:$A$593,0),MATCH("Less Accumulated Depreciation",'Prior Year Data Pull'!$A$1:$CB$1,0)),"")</f>
        <v>3141551000</v>
      </c>
      <c r="AI26" s="38">
        <f>IFERROR(INDEX('Prior Year Data Pull'!$A$2:$CB$593,MATCH(C26,'Prior Year Data Pull'!$A$2:$A$593,0),MATCH("Depreciation and Amortization Expense",'Prior Year Data Pull'!$A$1:$CB$1,0)),"")</f>
        <v>274903000</v>
      </c>
      <c r="AJ26" s="38">
        <f>IFERROR(INDEX('Prior Year Data Pull'!$A$2:$CB$593,MATCH(C26,'Prior Year Data Pull'!$A$2:$A$593,0),MATCH("Net Patient Accounts Receivable",'Prior Year Data Pull'!$A$1:$CB$1,0)),"")</f>
        <v>601376000</v>
      </c>
      <c r="AK26" s="14">
        <v>365</v>
      </c>
      <c r="AL26" s="38">
        <f>IFERROR(INDEX('Prior Year Data Pull'!$A$2:$CB$593,MATCH(C26,'Prior Year Data Pull'!$A$2:$A$593,0),MATCH("Estimated Third Party Settlements",'Prior Year Data Pull'!$A$1:$CB$1,0)),"")</f>
        <v>19438000</v>
      </c>
      <c r="AM26" s="38">
        <f>IFERROR(INDEX('Prior Year Data Pull'!$A$2:$CB$593,MATCH(C26,'Prior Year Data Pull'!$A$2:$A$593,0),MATCH("Current Liabilities due to Affiliates",'Prior Year Data Pull'!$A$1:$CB$1,0)),"")</f>
        <v>511073000</v>
      </c>
      <c r="AN26" s="38">
        <f>IFERROR(INDEX('Prior Year Data Pull'!$A$2:$CB$593,MATCH(C26,'Prior Year Data Pull'!$A$2:$A$593,0),MATCH("Short Term Investments",'Prior Year Data Pull'!$A$1:$CB$1,0)),"")</f>
        <v>-74411000</v>
      </c>
      <c r="AO26" s="38">
        <f>IFERROR(INDEX('Prior Year Data Pull'!$A$2:$CB$593,MATCH(C26,'Prior Year Data Pull'!$A$2:$A$593,0),MATCH("Cash and Cash Equivalents",'Prior Year Data Pull'!$A$1:$CB$1,0)),"")</f>
        <v>246735000</v>
      </c>
      <c r="AP26" s="38">
        <f>IFERROR(INDEX('Prior Year Data Pull'!$A$2:$CB$593,MATCH(C26,'Prior Year Data Pull'!$A$2:$A$593,0),MATCH("Interest Expense",'Prior Year Data Pull'!$A$1:$CB$1,0)),"")</f>
        <v>17002000</v>
      </c>
      <c r="AQ26" s="38">
        <f>IFERROR(INDEX('Prior Year Data Pull'!$A$2:$CB$593,MATCH(C26,'Prior Year Data Pull'!$A$2:$A$593,0),MATCH("Long Term Debt Net of Current Portion",'Prior Year Data Pull'!$A$1:$CB$1,0)),"")</f>
        <v>1127288000</v>
      </c>
      <c r="AR26" s="38">
        <f>IFERROR(INDEX('Prior Year Data Pull'!$A$2:$CB$593,MATCH(C26,'Prior Year Data Pull'!$A$2:$A$593,0),MATCH("Total Assets",'Prior Year Data Pull'!$A$1:$CB$1,0)),"")</f>
        <v>10731726000</v>
      </c>
      <c r="AS26" s="38">
        <f>IFERROR(INDEX('Prior Year Data Pull'!$A$2:$CB$593,MATCH(C26,'Prior Year Data Pull'!$A$2:$A$593,0),MATCH("Long Term Debt Net of Current Portion",'Prior Year Data Pull'!$A$1:$CB$1,0)),"")</f>
        <v>1127288000</v>
      </c>
      <c r="AT26" s="38">
        <f>IFERROR(INDEX('Prior Year Data Pull'!$A$2:$CB$593,MATCH(C26,'Prior Year Data Pull'!$A$2:$A$593,0),MATCH("Net Unrestricted Assets",'Prior Year Data Pull'!$A$1:$CB$1,0)),"")</f>
        <v>4332927000</v>
      </c>
      <c r="AU26" s="38">
        <f>IFERROR(INDEX('Prior Year Data Pull'!$A$2:$CB$593,MATCH(C26,'Prior Year Data Pull'!$A$2:$A$593,0),MATCH("Unrealized Gains/Losses",'Prior Year Data Pull'!$A$1:$CB$1,0)),"")</f>
        <v>132182000</v>
      </c>
      <c r="AV26" s="38">
        <f>IFERROR(INDEX('Prior Year Data Pull'!$A$2:$CB$593,MATCH(C26,'Prior Year Data Pull'!$A$2:$A$593,0),MATCH("Salary and Benefit Expense",'Prior Year Data Pull'!$A$1:$CB$1,0)),"")</f>
        <v>2292115000</v>
      </c>
    </row>
    <row r="27" spans="1:48" ht="34.200000000000003" x14ac:dyDescent="0.3">
      <c r="A27" s="46" t="str">
        <f>IFERROR(INDEX('Static Data Tab'!$N$2:$N$610,MATCH(D27,'Static Data Tab'!$D$2:$D$610,0)), "")</f>
        <v>UMass Memorial Health Care</v>
      </c>
      <c r="B27" s="46" t="s">
        <v>159</v>
      </c>
      <c r="C27" s="46">
        <v>97</v>
      </c>
      <c r="D27" s="46">
        <v>6755</v>
      </c>
      <c r="E27" s="46" t="str">
        <f>IFERROR(INDEX('Prior Year Data Pull'!$A$1:$CB$593,MATCH(C27,'Prior Year Data Pull'!$A$1:$A$593,0),MATCH("Organization Type",'Prior Year Data Pull'!$A$1:$CB$1,0)),"")</f>
        <v>AcuteHospital</v>
      </c>
      <c r="F27" s="46" t="str">
        <f>IFERROR(INDEX('Static Data Tab'!$E$2:$E$610,MATCH(C27,'Static Data Tab'!$B$2:$B$610,0)), "-")</f>
        <v>Community Hospital</v>
      </c>
      <c r="G27" s="46" t="str">
        <f>IFERROR(INDEX('Static Data Tab'!$J$2:$J$610,MATCH(C27,'Static Data Tab'!$B$2:$B$610,0)), "")</f>
        <v>Metro West</v>
      </c>
      <c r="H27" s="46">
        <f>IFERROR(INDEX('Static Data Tab'!$F$2:$F$610,MATCH(C27,'Static Data Tab'!$B$2:$B$610,0)), "")</f>
        <v>0</v>
      </c>
      <c r="I27" s="46">
        <f>IFERROR(INDEX('Static Data Tab'!$G$2:$G$610,MATCH(C27,'Static Data Tab'!$B$2:$B$610,0)), "")</f>
        <v>0</v>
      </c>
      <c r="J27" s="46" t="str">
        <f>IFERROR(INDEX('Prior Year Data Pull'!$A$2:$CB$593,MATCH(C27,'Prior Year Data Pull'!$A$2:$A$593,0),MATCH("Quarter Range",'Prior Year Data Pull'!$A$1:$CB$1,0)),"")</f>
        <v xml:space="preserve">10/01/2024-09/30/2025
</v>
      </c>
      <c r="K27" s="45">
        <f t="shared" si="0"/>
        <v>-4.1033117387569602E-3</v>
      </c>
      <c r="L27" s="45">
        <f t="shared" si="1"/>
        <v>1.1457787907721687E-2</v>
      </c>
      <c r="M27" s="45">
        <f t="shared" si="2"/>
        <v>7.3544761689647263E-3</v>
      </c>
      <c r="N27" s="47">
        <f t="shared" si="3"/>
        <v>2149000</v>
      </c>
      <c r="O27" s="265">
        <f t="shared" si="4"/>
        <v>0.94414804934978325</v>
      </c>
      <c r="P27" s="47">
        <f>IFERROR(INDEX('Prior Year Data Pull'!$A$2:$CB$593,MATCH('Prior Year Data Table'!$C27,'Prior Year Data Pull'!$A$2:$A$593,0),MATCH("Total Net Assets or Equity",'Prior Year Data Pull'!$A$1:$CB$1,0)),"")</f>
        <v>63917000</v>
      </c>
      <c r="Q27" s="47">
        <f>IFERROR(INDEX('Prior Year Data Pull'!$A$2:$CB$593,MATCH('Prior Year Data Table'!$C27,'Prior Year Data Pull'!$A$2:$A$593,0),MATCH("Total Operating Revenue",'Prior Year Data Pull'!$A$1:$CB$1,0)),"")</f>
        <v>288855000</v>
      </c>
      <c r="R27" s="47">
        <f>IFERROR(INDEX('Prior Year Data Pull'!$A$2:$CB$593,MATCH('Prior Year Data Table'!$C27,'Prior Year Data Pull'!$A$2:$A$593,0),MATCH("Total Unrestricted Revenue Gains and Other Support",'Prior Year Data Pull'!$A$1:$CB$1,0)),"")</f>
        <v>292203000</v>
      </c>
      <c r="S27" s="47">
        <f>IFERROR(INDEX('Prior Year TS Data Pull'!$K$2:$K$607,MATCH(C27,'Prior Year TS Data Pull'!$A$2:$A$607,0))+INDEX('Prior Year TS Data Pull'!$O$2:$O$119,MATCH(C27,'Prior Year TS Data Pull'!$A$2:$A$607,0))+INDEX('Prior Year TS Data Pull'!$S$2:$S$119,MATCH(C27,'Prior Year TS Data Pull'!$A$2:$A$607,0)),"")</f>
        <v>9714581</v>
      </c>
      <c r="T27" s="47">
        <f>IF(INDEX('Prior Year TS Data Pull'!$A$1:$O$607,MATCH(C27,'Prior Year TS Data Pull'!$A$1:$A$607,0),MATCH("Temporary RN Staffing:
Line Reported on in Standardized Financials",'Prior Year TS Data Pull'!$A$1:$O$1,0))="66.1: Salary and Benefit Expense",'Prior Year Data Table'!$AV27-'Prior Year Data Table'!$S27,0)</f>
        <v>0</v>
      </c>
      <c r="U27" s="47">
        <f>IFERROR(INDEX('Prior Year Data Pull'!$A$2:$CB$593,MATCH(C27,'Prior Year Data Pull'!$A$2:$A$593,0),MATCH("Total Expenses Including Nonrecurring Gains Losses",'Prior Year Data Pull'!$A$1:$CB$1,0)),"")</f>
        <v>290054000</v>
      </c>
      <c r="V27" s="266">
        <f t="shared" si="5"/>
        <v>10.669866026794642</v>
      </c>
      <c r="W27" s="266">
        <f t="shared" si="6"/>
        <v>31.666069610802339</v>
      </c>
      <c r="X27" s="266">
        <f t="shared" si="7"/>
        <v>202.64165226457945</v>
      </c>
      <c r="Y27" s="45">
        <f t="shared" si="8"/>
        <v>9.4837813368299453E-2</v>
      </c>
      <c r="Z27" s="266">
        <f t="shared" si="9"/>
        <v>25.735541970776858</v>
      </c>
      <c r="AA27" s="265">
        <f t="shared" si="10"/>
        <v>7.168020304568528</v>
      </c>
      <c r="AB27" s="45">
        <f t="shared" si="11"/>
        <v>0.20253754186722267</v>
      </c>
      <c r="AC27" s="45">
        <f t="shared" si="12"/>
        <v>0</v>
      </c>
      <c r="AD27" s="47">
        <f>IFERROR(INDEX('Prior Year Data Pull'!$A$2:$CB$593,MATCH(C27,'Prior Year Data Pull'!$A$2:$A$593,0),MATCH("Net Patient Service Revenue",'Prior Year Data Pull'!$A$1:$CB$1,0)),"")</f>
        <v>281939000</v>
      </c>
      <c r="AE27" s="47">
        <f>IFERROR(INDEX('Prior Year Data Pull'!$A$2:$CB$593,MATCH(C27,'Prior Year Data Pull'!$A$2:$A$593,0),MATCH("Total Current Assets",'Prior Year Data Pull'!$A$1:$CB$1,0)),"")</f>
        <v>147238000</v>
      </c>
      <c r="AF27" s="47">
        <f>IFERROR(INDEX('Prior Year Data Pull'!$A$2:$CB$593,MATCH(C27,'Prior Year Data Pull'!$A$2:$A$593,0),MATCH("Total Current Liabilities",'Prior Year Data Pull'!$A$1:$CB$1,0)),"")</f>
        <v>155948000</v>
      </c>
      <c r="AG27" s="47">
        <f>IFERROR(INDEX('Prior Year Data Pull'!$A$2:$CB$593,MATCH(C27,'Prior Year Data Pull'!$A$2:$A$593,0),MATCH("Total Non Operating Revenue",'Prior Year Data Pull'!$A$1:$CB$1,0)),"")</f>
        <v>3348000</v>
      </c>
      <c r="AH27" s="47">
        <f>IFERROR(INDEX('Prior Year Data Pull'!$A$2:$CB$593,MATCH(C27,'Prior Year Data Pull'!$A$2:$A$593,0),MATCH("Less Accumulated Depreciation",'Prior Year Data Pull'!$A$1:$CB$1,0)),"")</f>
        <v>106720000</v>
      </c>
      <c r="AI27" s="47">
        <f>IFERROR(INDEX('Prior Year Data Pull'!$A$2:$CB$593,MATCH(C27,'Prior Year Data Pull'!$A$2:$A$593,0),MATCH("Depreciation and Amortization Expense",'Prior Year Data Pull'!$A$1:$CB$1,0)),"")</f>
        <v>10002000</v>
      </c>
      <c r="AJ27" s="47">
        <f>IFERROR(INDEX('Prior Year Data Pull'!$A$2:$CB$593,MATCH(C27,'Prior Year Data Pull'!$A$2:$A$593,0),MATCH("Net Patient Accounts Receivable",'Prior Year Data Pull'!$A$1:$CB$1,0)),"")</f>
        <v>24460000</v>
      </c>
      <c r="AK27" s="46">
        <v>365</v>
      </c>
      <c r="AL27" s="47">
        <f>IFERROR(INDEX('Prior Year Data Pull'!$A$2:$CB$593,MATCH(C27,'Prior Year Data Pull'!$A$2:$A$593,0),MATCH("Estimated Third Party Settlements",'Prior Year Data Pull'!$A$1:$CB$1,0)),"")</f>
        <v>468000</v>
      </c>
      <c r="AM27" s="47">
        <f>IFERROR(INDEX('Prior Year Data Pull'!$A$2:$CB$593,MATCH(C27,'Prior Year Data Pull'!$A$2:$A$593,0),MATCH("Current Liabilities due to Affiliates",'Prior Year Data Pull'!$A$1:$CB$1,0)),"")</f>
        <v>128124000</v>
      </c>
      <c r="AN27" s="47">
        <f>IFERROR(INDEX('Prior Year Data Pull'!$A$2:$CB$593,MATCH(C27,'Prior Year Data Pull'!$A$2:$A$593,0),MATCH("Short Term Investments",'Prior Year Data Pull'!$A$1:$CB$1,0)),"")</f>
        <v>489000</v>
      </c>
      <c r="AO27" s="47">
        <f>IFERROR(INDEX('Prior Year Data Pull'!$A$2:$CB$593,MATCH(C27,'Prior Year Data Pull'!$A$2:$A$593,0),MATCH("Cash and Cash Equivalents",'Prior Year Data Pull'!$A$1:$CB$1,0)),"")</f>
        <v>19257000</v>
      </c>
      <c r="AP27" s="47">
        <f>IFERROR(INDEX('Prior Year Data Pull'!$A$2:$CB$593,MATCH(C27,'Prior Year Data Pull'!$A$2:$A$593,0),MATCH("Interest Expense",'Prior Year Data Pull'!$A$1:$CB$1,0)),"")</f>
        <v>1970000</v>
      </c>
      <c r="AQ27" s="47">
        <f>IFERROR(INDEX('Prior Year Data Pull'!$A$2:$CB$593,MATCH(C27,'Prior Year Data Pull'!$A$2:$A$593,0),MATCH("Long Term Debt Net of Current Portion",'Prior Year Data Pull'!$A$1:$CB$1,0)),"")</f>
        <v>0</v>
      </c>
      <c r="AR27" s="47">
        <f>IFERROR(INDEX('Prior Year Data Pull'!$A$2:$CB$593,MATCH(C27,'Prior Year Data Pull'!$A$2:$A$593,0),MATCH("Total Assets",'Prior Year Data Pull'!$A$1:$CB$1,0)),"")</f>
        <v>315581000</v>
      </c>
      <c r="AS27" s="47">
        <f>IFERROR(INDEX('Prior Year Data Pull'!$A$2:$CB$593,MATCH(C27,'Prior Year Data Pull'!$A$2:$A$593,0),MATCH("Long Term Debt Net of Current Portion",'Prior Year Data Pull'!$A$1:$CB$1,0)),"")</f>
        <v>0</v>
      </c>
      <c r="AT27" s="47">
        <f>IFERROR(INDEX('Prior Year Data Pull'!$A$2:$CB$593,MATCH(C27,'Prior Year Data Pull'!$A$2:$A$593,0),MATCH("Net Unrestricted Assets",'Prior Year Data Pull'!$A$1:$CB$1,0)),"")</f>
        <v>63824000</v>
      </c>
      <c r="AU27" s="47">
        <f>IFERROR(INDEX('Prior Year Data Pull'!$A$2:$CB$593,MATCH(C27,'Prior Year Data Pull'!$A$2:$A$593,0),MATCH("Unrealized Gains/Losses",'Prior Year Data Pull'!$A$1:$CB$1,0)),"")</f>
        <v>0</v>
      </c>
      <c r="AV27" s="47">
        <f>IFERROR(INDEX('Prior Year Data Pull'!$A$2:$CB$593,MATCH(C27,'Prior Year Data Pull'!$A$2:$A$593,0),MATCH("Salary and Benefit Expense",'Prior Year Data Pull'!$A$1:$CB$1,0)),"")</f>
        <v>164924000</v>
      </c>
    </row>
    <row r="28" spans="1:48" ht="34.200000000000003" x14ac:dyDescent="0.3">
      <c r="A28" s="14" t="str">
        <f>IFERROR(INDEX('Static Data Tab'!$N$2:$N$610,MATCH(D28,'Static Data Tab'!$D$2:$D$610,0)), "")</f>
        <v>Beth Israel Lahey Health</v>
      </c>
      <c r="B28" s="14" t="s">
        <v>92</v>
      </c>
      <c r="C28" s="14">
        <v>98</v>
      </c>
      <c r="D28" s="14">
        <v>16665</v>
      </c>
      <c r="E28" s="14" t="str">
        <f>IFERROR(INDEX('Prior Year Data Pull'!$A$1:$CB$593,MATCH(C28,'Prior Year Data Pull'!$A$1:$A$593,0),MATCH("Organization Type",'Prior Year Data Pull'!$A$1:$CB$1,0)),"")</f>
        <v>AcuteHospital</v>
      </c>
      <c r="F28" s="14" t="str">
        <f>IFERROR(INDEX('Static Data Tab'!$E$2:$E$610,MATCH(C28,'Static Data Tab'!$B$2:$B$610,0)), "-")</f>
        <v>Community Hospital</v>
      </c>
      <c r="G28" s="14" t="str">
        <f>IFERROR(INDEX('Static Data Tab'!$J$2:$J$610,MATCH(C28,'Static Data Tab'!$B$2:$B$610,0)), "")</f>
        <v>Metro Boston</v>
      </c>
      <c r="H28" s="14">
        <f>IFERROR(INDEX('Static Data Tab'!$F$2:$F$610,MATCH(C28,'Static Data Tab'!$B$2:$B$610,0)), "")</f>
        <v>0</v>
      </c>
      <c r="I28" s="14">
        <f>IFERROR(INDEX('Static Data Tab'!$G$2:$G$610,MATCH(C28,'Static Data Tab'!$B$2:$B$610,0)), "")</f>
        <v>0</v>
      </c>
      <c r="J28" s="14" t="str">
        <f>IFERROR(INDEX('Prior Year Data Pull'!$A$2:$CB$593,MATCH(C28,'Prior Year Data Pull'!$A$2:$A$593,0),MATCH("Quarter Range",'Prior Year Data Pull'!$A$1:$CB$1,0)),"")</f>
        <v xml:space="preserve">10/01/2024-09/30/2025
</v>
      </c>
      <c r="K28" s="37">
        <f t="shared" si="0"/>
        <v>-9.9200065443878951E-2</v>
      </c>
      <c r="L28" s="37">
        <f t="shared" si="1"/>
        <v>3.8208707541822727E-2</v>
      </c>
      <c r="M28" s="37">
        <f t="shared" si="2"/>
        <v>-6.0991357902056224E-2</v>
      </c>
      <c r="N28" s="38">
        <f t="shared" si="3"/>
        <v>-10438000</v>
      </c>
      <c r="O28" s="39">
        <f t="shared" si="4"/>
        <v>1.2938021454112039</v>
      </c>
      <c r="P28" s="38">
        <f>IFERROR(INDEX('Prior Year Data Pull'!$A$2:$CB$593,MATCH('Prior Year Data Table'!$C28,'Prior Year Data Pull'!$A$2:$A$593,0),MATCH("Total Net Assets or Equity",'Prior Year Data Pull'!$A$1:$CB$1,0)),"")</f>
        <v>96791000</v>
      </c>
      <c r="Q28" s="38">
        <f>IFERROR(INDEX('Prior Year Data Pull'!$A$2:$CB$593,MATCH('Prior Year Data Table'!$C28,'Prior Year Data Pull'!$A$2:$A$593,0),MATCH("Total Operating Revenue",'Prior Year Data Pull'!$A$1:$CB$1,0)),"")</f>
        <v>164600000</v>
      </c>
      <c r="R28" s="38">
        <f>IFERROR(INDEX('Prior Year Data Pull'!$A$2:$CB$593,MATCH('Prior Year Data Table'!$C28,'Prior Year Data Pull'!$A$2:$A$593,0),MATCH("Total Unrestricted Revenue Gains and Other Support",'Prior Year Data Pull'!$A$1:$CB$1,0)),"")</f>
        <v>171139000</v>
      </c>
      <c r="S28" s="38">
        <f>IFERROR(INDEX('Prior Year TS Data Pull'!$K$2:$K$607,MATCH(C28,'Prior Year TS Data Pull'!$A$2:$A$607,0))+INDEX('Prior Year TS Data Pull'!$O$2:$O$119,MATCH(C28,'Prior Year TS Data Pull'!$A$2:$A$607,0))+INDEX('Prior Year TS Data Pull'!$S$2:$S$119,MATCH(C28,'Prior Year TS Data Pull'!$A$2:$A$607,0)),"")</f>
        <v>8290947</v>
      </c>
      <c r="T28" s="38">
        <f>IF(INDEX('Prior Year TS Data Pull'!$A$1:$O$607,MATCH(C28,'Prior Year TS Data Pull'!$A$1:$A$607,0),MATCH("Temporary RN Staffing:
Line Reported on in Standardized Financials",'Prior Year TS Data Pull'!$A$1:$O$1,0))="66.1: Salary and Benefit Expense",'Prior Year Data Table'!$AV28-'Prior Year Data Table'!$S28,0)</f>
        <v>74188053</v>
      </c>
      <c r="U28" s="38">
        <f>IFERROR(INDEX('Prior Year Data Pull'!$A$2:$CB$593,MATCH(C28,'Prior Year Data Pull'!$A$2:$A$593,0),MATCH("Total Expenses Including Nonrecurring Gains Losses",'Prior Year Data Pull'!$A$1:$CB$1,0)),"")</f>
        <v>181577000</v>
      </c>
      <c r="V28" s="41">
        <f t="shared" si="5"/>
        <v>6.2004550792718733</v>
      </c>
      <c r="W28" s="41">
        <f t="shared" si="6"/>
        <v>48.762292952257226</v>
      </c>
      <c r="X28" s="41">
        <f t="shared" si="7"/>
        <v>84.951444749423956</v>
      </c>
      <c r="Y28" s="37">
        <f t="shared" si="8"/>
        <v>-4.1688735498641702E-2</v>
      </c>
      <c r="Z28" s="41">
        <f t="shared" si="9"/>
        <v>95.902335772507783</v>
      </c>
      <c r="AA28" s="39">
        <f t="shared" si="10"/>
        <v>-6.1514013290956369E-2</v>
      </c>
      <c r="AB28" s="37">
        <f t="shared" si="11"/>
        <v>0.5238231824134908</v>
      </c>
      <c r="AC28" s="37">
        <f t="shared" si="12"/>
        <v>0.29236421289508679</v>
      </c>
      <c r="AD28" s="38">
        <f>IFERROR(INDEX('Prior Year Data Pull'!$A$2:$CB$593,MATCH(C28,'Prior Year Data Pull'!$A$2:$A$593,0),MATCH("Net Patient Service Revenue",'Prior Year Data Pull'!$A$1:$CB$1,0)),"")</f>
        <v>153950000</v>
      </c>
      <c r="AE28" s="38">
        <f>IFERROR(INDEX('Prior Year Data Pull'!$A$2:$CB$593,MATCH(C28,'Prior Year Data Pull'!$A$2:$A$593,0),MATCH("Total Current Assets",'Prior Year Data Pull'!$A$1:$CB$1,0)),"")</f>
        <v>67301000</v>
      </c>
      <c r="AF28" s="38">
        <f>IFERROR(INDEX('Prior Year Data Pull'!$A$2:$CB$593,MATCH(C28,'Prior Year Data Pull'!$A$2:$A$593,0),MATCH("Total Current Liabilities",'Prior Year Data Pull'!$A$1:$CB$1,0)),"")</f>
        <v>52018000</v>
      </c>
      <c r="AG28" s="38">
        <f>IFERROR(INDEX('Prior Year Data Pull'!$A$2:$CB$593,MATCH(C28,'Prior Year Data Pull'!$A$2:$A$593,0),MATCH("Total Non Operating Revenue",'Prior Year Data Pull'!$A$1:$CB$1,0)),"")</f>
        <v>6539000</v>
      </c>
      <c r="AH28" s="38">
        <f>IFERROR(INDEX('Prior Year Data Pull'!$A$2:$CB$593,MATCH(C28,'Prior Year Data Pull'!$A$2:$A$593,0),MATCH("Less Accumulated Depreciation",'Prior Year Data Pull'!$A$1:$CB$1,0)),"")</f>
        <v>84475000</v>
      </c>
      <c r="AI28" s="38">
        <f>IFERROR(INDEX('Prior Year Data Pull'!$A$2:$CB$593,MATCH(C28,'Prior Year Data Pull'!$A$2:$A$593,0),MATCH("Depreciation and Amortization Expense",'Prior Year Data Pull'!$A$1:$CB$1,0)),"")</f>
        <v>13624000</v>
      </c>
      <c r="AJ28" s="38">
        <f>IFERROR(INDEX('Prior Year Data Pull'!$A$2:$CB$593,MATCH(C28,'Prior Year Data Pull'!$A$2:$A$593,0),MATCH("Net Patient Accounts Receivable",'Prior Year Data Pull'!$A$1:$CB$1,0)),"")</f>
        <v>20567000</v>
      </c>
      <c r="AK28" s="14">
        <v>365</v>
      </c>
      <c r="AL28" s="38">
        <f>IFERROR(INDEX('Prior Year Data Pull'!$A$2:$CB$593,MATCH(C28,'Prior Year Data Pull'!$A$2:$A$593,0),MATCH("Estimated Third Party Settlements",'Prior Year Data Pull'!$A$1:$CB$1,0)),"")</f>
        <v>12928000</v>
      </c>
      <c r="AM28" s="38">
        <f>IFERROR(INDEX('Prior Year Data Pull'!$A$2:$CB$593,MATCH(C28,'Prior Year Data Pull'!$A$2:$A$593,0),MATCH("Current Liabilities due to Affiliates",'Prior Year Data Pull'!$A$1:$CB$1,0)),"")</f>
        <v>24230000</v>
      </c>
      <c r="AN28" s="38">
        <f>IFERROR(INDEX('Prior Year Data Pull'!$A$2:$CB$593,MATCH(C28,'Prior Year Data Pull'!$A$2:$A$593,0),MATCH("Short Term Investments",'Prior Year Data Pull'!$A$1:$CB$1,0)),"")</f>
        <v>43283000</v>
      </c>
      <c r="AO28" s="38">
        <f>IFERROR(INDEX('Prior Year Data Pull'!$A$2:$CB$593,MATCH(C28,'Prior Year Data Pull'!$A$2:$A$593,0),MATCH("Cash and Cash Equivalents",'Prior Year Data Pull'!$A$1:$CB$1,0)),"")</f>
        <v>846000</v>
      </c>
      <c r="AP28" s="38">
        <f>IFERROR(INDEX('Prior Year Data Pull'!$A$2:$CB$593,MATCH(C28,'Prior Year Data Pull'!$A$2:$A$593,0),MATCH("Interest Expense",'Prior Year Data Pull'!$A$1:$CB$1,0)),"")</f>
        <v>311000</v>
      </c>
      <c r="AQ28" s="38">
        <f>IFERROR(INDEX('Prior Year Data Pull'!$A$2:$CB$593,MATCH(C28,'Prior Year Data Pull'!$A$2:$A$593,0),MATCH("Long Term Debt Net of Current Portion",'Prior Year Data Pull'!$A$1:$CB$1,0)),"")</f>
        <v>34299000</v>
      </c>
      <c r="AR28" s="38">
        <f>IFERROR(INDEX('Prior Year Data Pull'!$A$2:$CB$593,MATCH(C28,'Prior Year Data Pull'!$A$2:$A$593,0),MATCH("Total Assets",'Prior Year Data Pull'!$A$1:$CB$1,0)),"")</f>
        <v>184778000</v>
      </c>
      <c r="AS28" s="38">
        <f>IFERROR(INDEX('Prior Year Data Pull'!$A$2:$CB$593,MATCH(C28,'Prior Year Data Pull'!$A$2:$A$593,0),MATCH("Long Term Debt Net of Current Portion",'Prior Year Data Pull'!$A$1:$CB$1,0)),"")</f>
        <v>34299000</v>
      </c>
      <c r="AT28" s="38">
        <f>IFERROR(INDEX('Prior Year Data Pull'!$A$2:$CB$593,MATCH(C28,'Prior Year Data Pull'!$A$2:$A$593,0),MATCH("Net Unrestricted Assets",'Prior Year Data Pull'!$A$1:$CB$1,0)),"")</f>
        <v>83017000</v>
      </c>
      <c r="AU28" s="38">
        <f>IFERROR(INDEX('Prior Year Data Pull'!$A$2:$CB$593,MATCH(C28,'Prior Year Data Pull'!$A$2:$A$593,0),MATCH("Unrealized Gains/Losses",'Prior Year Data Pull'!$A$1:$CB$1,0)),"")</f>
        <v>5626000</v>
      </c>
      <c r="AV28" s="38">
        <f>IFERROR(INDEX('Prior Year Data Pull'!$A$2:$CB$593,MATCH(C28,'Prior Year Data Pull'!$A$2:$A$593,0),MATCH("Salary and Benefit Expense",'Prior Year Data Pull'!$A$1:$CB$1,0)),"")</f>
        <v>82479000</v>
      </c>
    </row>
    <row r="29" spans="1:48" ht="34.200000000000003" x14ac:dyDescent="0.3">
      <c r="A29" s="46" t="str">
        <f>IFERROR(INDEX('Static Data Tab'!$N$2:$N$610,MATCH(D29,'Static Data Tab'!$D$2:$D$610,0)), "")</f>
        <v>Brown University Health</v>
      </c>
      <c r="B29" s="46" t="s">
        <v>173</v>
      </c>
      <c r="C29" s="46">
        <v>99</v>
      </c>
      <c r="D29" s="46">
        <v>22350</v>
      </c>
      <c r="E29" s="46" t="str">
        <f>IFERROR(INDEX('Prior Year Data Pull'!$A$1:$CB$593,MATCH(C29,'Prior Year Data Pull'!$A$1:$A$593,0),MATCH("Organization Type",'Prior Year Data Pull'!$A$1:$CB$1,0)),"")</f>
        <v>AcuteHospital</v>
      </c>
      <c r="F29" s="46" t="str">
        <f>IFERROR(INDEX('Static Data Tab'!$E$2:$E$610,MATCH(C29,'Static Data Tab'!$B$2:$B$610,0)), "-")</f>
        <v>Community-High Public Payer Hospital</v>
      </c>
      <c r="G29" s="46" t="str">
        <f>IFERROR(INDEX('Static Data Tab'!$J$2:$J$610,MATCH(C29,'Static Data Tab'!$B$2:$B$610,0)), "")</f>
        <v>Metro South</v>
      </c>
      <c r="H29" s="46" t="str">
        <f>IFERROR(INDEX('Static Data Tab'!$F$2:$F$610,MATCH(C29,'Static Data Tab'!$B$2:$B$610,0)), "")</f>
        <v>x</v>
      </c>
      <c r="I29" s="46">
        <f>IFERROR(INDEX('Static Data Tab'!$G$2:$G$610,MATCH(C29,'Static Data Tab'!$B$2:$B$610,0)), "")</f>
        <v>0</v>
      </c>
      <c r="J29" s="46" t="str">
        <f>IFERROR(INDEX('Prior Year Data Pull'!$A$2:$CB$593,MATCH(C29,'Prior Year Data Pull'!$A$2:$A$593,0),MATCH("Quarter Range",'Prior Year Data Pull'!$A$1:$CB$1,0)),"")</f>
        <v xml:space="preserve">10/01/2024-09/30/2025
</v>
      </c>
      <c r="K29" s="45">
        <f t="shared" si="0"/>
        <v>-3.3841968428789261E-2</v>
      </c>
      <c r="L29" s="45">
        <f t="shared" si="1"/>
        <v>2.7962132098860233E-2</v>
      </c>
      <c r="M29" s="45">
        <f t="shared" si="2"/>
        <v>-5.8798363299290253E-3</v>
      </c>
      <c r="N29" s="47">
        <f t="shared" si="3"/>
        <v>-1072000</v>
      </c>
      <c r="O29" s="265">
        <f t="shared" si="4"/>
        <v>1.877125140855044</v>
      </c>
      <c r="P29" s="47">
        <f>IFERROR(INDEX('Prior Year Data Pull'!$A$2:$CB$593,MATCH('Prior Year Data Table'!$C29,'Prior Year Data Pull'!$A$2:$A$593,0),MATCH("Total Net Assets or Equity",'Prior Year Data Pull'!$A$1:$CB$1,0)),"")</f>
        <v>-22367000</v>
      </c>
      <c r="Q29" s="47">
        <f>IFERROR(INDEX('Prior Year Data Pull'!$A$2:$CB$593,MATCH('Prior Year Data Table'!$C29,'Prior Year Data Pull'!$A$2:$A$593,0),MATCH("Total Operating Revenue",'Prior Year Data Pull'!$A$1:$CB$1,0)),"")</f>
        <v>177220000</v>
      </c>
      <c r="R29" s="47">
        <f>IFERROR(INDEX('Prior Year Data Pull'!$A$2:$CB$593,MATCH('Prior Year Data Table'!$C29,'Prior Year Data Pull'!$A$2:$A$593,0),MATCH("Total Unrestricted Revenue Gains and Other Support",'Prior Year Data Pull'!$A$1:$CB$1,0)),"")</f>
        <v>182318000</v>
      </c>
      <c r="S29" s="47">
        <f>IFERROR(INDEX('Prior Year TS Data Pull'!$K$2:$K$607,MATCH(C29,'Prior Year TS Data Pull'!$A$2:$A$607,0))+INDEX('Prior Year TS Data Pull'!$O$2:$O$119,MATCH(C29,'Prior Year TS Data Pull'!$A$2:$A$607,0))+INDEX('Prior Year TS Data Pull'!$S$2:$S$119,MATCH(C29,'Prior Year TS Data Pull'!$A$2:$A$607,0)),"")</f>
        <v>1411000</v>
      </c>
      <c r="T29" s="47">
        <f>IF(INDEX('Prior Year TS Data Pull'!$A$1:$O$607,MATCH(C29,'Prior Year TS Data Pull'!$A$1:$A$607,0),MATCH("Temporary RN Staffing:
Line Reported on in Standardized Financials",'Prior Year TS Data Pull'!$A$1:$O$1,0))="66.1: Salary and Benefit Expense",'Prior Year Data Table'!$AV29-'Prior Year Data Table'!$S29,0)</f>
        <v>0</v>
      </c>
      <c r="U29" s="47">
        <f>IFERROR(INDEX('Prior Year Data Pull'!$A$2:$CB$593,MATCH(C29,'Prior Year Data Pull'!$A$2:$A$593,0),MATCH("Total Expenses Including Nonrecurring Gains Losses",'Prior Year Data Pull'!$A$1:$CB$1,0)),"")</f>
        <v>183390000</v>
      </c>
      <c r="V29" s="266">
        <f t="shared" si="5"/>
        <v>0.91630170316301707</v>
      </c>
      <c r="W29" s="266">
        <f t="shared" si="6"/>
        <v>29.674449143660375</v>
      </c>
      <c r="X29" s="266">
        <f t="shared" si="7"/>
        <v>329.52814033913432</v>
      </c>
      <c r="Y29" s="45">
        <f t="shared" si="8"/>
        <v>1.0031037443042991E-2</v>
      </c>
      <c r="Z29" s="266">
        <f t="shared" si="9"/>
        <v>0.6331715751896474</v>
      </c>
      <c r="AA29" s="265">
        <f t="shared" si="10"/>
        <v>3.5467609467036837E-2</v>
      </c>
      <c r="AB29" s="45">
        <f t="shared" si="11"/>
        <v>-4.8893571720554446E-2</v>
      </c>
      <c r="AC29" s="45">
        <f t="shared" si="12"/>
        <v>1.0797417404355902</v>
      </c>
      <c r="AD29" s="47">
        <f>IFERROR(INDEX('Prior Year Data Pull'!$A$2:$CB$593,MATCH(C29,'Prior Year Data Pull'!$A$2:$A$593,0),MATCH("Net Patient Service Revenue",'Prior Year Data Pull'!$A$1:$CB$1,0)),"")</f>
        <v>162202000</v>
      </c>
      <c r="AE29" s="47">
        <f>IFERROR(INDEX('Prior Year Data Pull'!$A$2:$CB$593,MATCH(C29,'Prior Year Data Pull'!$A$2:$A$593,0),MATCH("Total Current Assets",'Prior Year Data Pull'!$A$1:$CB$1,0)),"")</f>
        <v>304847000</v>
      </c>
      <c r="AF29" s="47">
        <f>IFERROR(INDEX('Prior Year Data Pull'!$A$2:$CB$593,MATCH(C29,'Prior Year Data Pull'!$A$2:$A$593,0),MATCH("Total Current Liabilities",'Prior Year Data Pull'!$A$1:$CB$1,0)),"")</f>
        <v>162401000</v>
      </c>
      <c r="AG29" s="47">
        <f>IFERROR(INDEX('Prior Year Data Pull'!$A$2:$CB$593,MATCH(C29,'Prior Year Data Pull'!$A$2:$A$593,0),MATCH("Total Non Operating Revenue",'Prior Year Data Pull'!$A$1:$CB$1,0)),"")</f>
        <v>5098000</v>
      </c>
      <c r="AH29" s="47">
        <f>IFERROR(INDEX('Prior Year Data Pull'!$A$2:$CB$593,MATCH(C29,'Prior Year Data Pull'!$A$2:$A$593,0),MATCH("Less Accumulated Depreciation",'Prior Year Data Pull'!$A$1:$CB$1,0)),"")</f>
        <v>3766000</v>
      </c>
      <c r="AI29" s="47">
        <f>IFERROR(INDEX('Prior Year Data Pull'!$A$2:$CB$593,MATCH(C29,'Prior Year Data Pull'!$A$2:$A$593,0),MATCH("Depreciation and Amortization Expense",'Prior Year Data Pull'!$A$1:$CB$1,0)),"")</f>
        <v>4110000</v>
      </c>
      <c r="AJ29" s="47">
        <f>IFERROR(INDEX('Prior Year Data Pull'!$A$2:$CB$593,MATCH(C29,'Prior Year Data Pull'!$A$2:$A$593,0),MATCH("Net Patient Accounts Receivable",'Prior Year Data Pull'!$A$1:$CB$1,0)),"")</f>
        <v>13187000</v>
      </c>
      <c r="AK29" s="46">
        <v>365</v>
      </c>
      <c r="AL29" s="47">
        <f>IFERROR(INDEX('Prior Year Data Pull'!$A$2:$CB$593,MATCH(C29,'Prior Year Data Pull'!$A$2:$A$593,0),MATCH("Estimated Third Party Settlements",'Prior Year Data Pull'!$A$1:$CB$1,0)),"")</f>
        <v>544000</v>
      </c>
      <c r="AM29" s="47">
        <f>IFERROR(INDEX('Prior Year Data Pull'!$A$2:$CB$593,MATCH(C29,'Prior Year Data Pull'!$A$2:$A$593,0),MATCH("Current Liabilities due to Affiliates",'Prior Year Data Pull'!$A$1:$CB$1,0)),"")</f>
        <v>0</v>
      </c>
      <c r="AN29" s="47">
        <f>IFERROR(INDEX('Prior Year Data Pull'!$A$2:$CB$593,MATCH(C29,'Prior Year Data Pull'!$A$2:$A$593,0),MATCH("Short Term Investments",'Prior Year Data Pull'!$A$1:$CB$1,0)),"")</f>
        <v>0</v>
      </c>
      <c r="AO29" s="47">
        <f>IFERROR(INDEX('Prior Year Data Pull'!$A$2:$CB$593,MATCH(C29,'Prior Year Data Pull'!$A$2:$A$593,0),MATCH("Cash and Cash Equivalents",'Prior Year Data Pull'!$A$1:$CB$1,0)),"")</f>
        <v>311000</v>
      </c>
      <c r="AP29" s="47">
        <f>IFERROR(INDEX('Prior Year Data Pull'!$A$2:$CB$593,MATCH(C29,'Prior Year Data Pull'!$A$2:$A$593,0),MATCH("Interest Expense",'Prior Year Data Pull'!$A$1:$CB$1,0)),"")</f>
        <v>7987000</v>
      </c>
      <c r="AQ29" s="47">
        <f>IFERROR(INDEX('Prior Year Data Pull'!$A$2:$CB$593,MATCH(C29,'Prior Year Data Pull'!$A$2:$A$593,0),MATCH("Long Term Debt Net of Current Portion",'Prior Year Data Pull'!$A$1:$CB$1,0)),"")</f>
        <v>302860000</v>
      </c>
      <c r="AR29" s="47">
        <f>IFERROR(INDEX('Prior Year Data Pull'!$A$2:$CB$593,MATCH(C29,'Prior Year Data Pull'!$A$2:$A$593,0),MATCH("Total Assets",'Prior Year Data Pull'!$A$1:$CB$1,0)),"")</f>
        <v>457463000</v>
      </c>
      <c r="AS29" s="47">
        <f>IFERROR(INDEX('Prior Year Data Pull'!$A$2:$CB$593,MATCH(C29,'Prior Year Data Pull'!$A$2:$A$593,0),MATCH("Long Term Debt Net of Current Portion",'Prior Year Data Pull'!$A$1:$CB$1,0)),"")</f>
        <v>302860000</v>
      </c>
      <c r="AT29" s="47">
        <f>IFERROR(INDEX('Prior Year Data Pull'!$A$2:$CB$593,MATCH(C29,'Prior Year Data Pull'!$A$2:$A$593,0),MATCH("Net Unrestricted Assets",'Prior Year Data Pull'!$A$1:$CB$1,0)),"")</f>
        <v>-22367000</v>
      </c>
      <c r="AU29" s="47">
        <f>IFERROR(INDEX('Prior Year Data Pull'!$A$2:$CB$593,MATCH(C29,'Prior Year Data Pull'!$A$2:$A$593,0),MATCH("Unrealized Gains/Losses",'Prior Year Data Pull'!$A$1:$CB$1,0)),"")</f>
        <v>0</v>
      </c>
      <c r="AV29" s="47">
        <f>IFERROR(INDEX('Prior Year Data Pull'!$A$2:$CB$593,MATCH(C29,'Prior Year Data Pull'!$A$2:$A$593,0),MATCH("Salary and Benefit Expense",'Prior Year Data Pull'!$A$1:$CB$1,0)),"")</f>
        <v>102043000</v>
      </c>
    </row>
    <row r="30" spans="1:48" ht="34.200000000000003" x14ac:dyDescent="0.3">
      <c r="A30" s="14" t="str">
        <f>IFERROR(INDEX('Static Data Tab'!$N$2:$N$610,MATCH(D30,'Static Data Tab'!$D$2:$D$610,0)), "")</f>
        <v>Beth Israel Lahey Health</v>
      </c>
      <c r="B30" s="14" t="s">
        <v>97</v>
      </c>
      <c r="C30" s="14">
        <v>100</v>
      </c>
      <c r="D30" s="14">
        <v>16665</v>
      </c>
      <c r="E30" s="14" t="str">
        <f>IFERROR(INDEX('Prior Year Data Pull'!$A$1:$CB$593,MATCH(C30,'Prior Year Data Pull'!$A$1:$A$593,0),MATCH("Organization Type",'Prior Year Data Pull'!$A$1:$CB$1,0)),"")</f>
        <v>AcuteHospital</v>
      </c>
      <c r="F30" s="14" t="str">
        <f>IFERROR(INDEX('Static Data Tab'!$E$2:$E$610,MATCH(C30,'Static Data Tab'!$B$2:$B$610,0)), "-")</f>
        <v>Teaching Hospital</v>
      </c>
      <c r="G30" s="14" t="str">
        <f>IFERROR(INDEX('Static Data Tab'!$J$2:$J$610,MATCH(C30,'Static Data Tab'!$B$2:$B$610,0)), "")</f>
        <v>Metro Boston</v>
      </c>
      <c r="H30" s="14">
        <f>IFERROR(INDEX('Static Data Tab'!$F$2:$F$610,MATCH(C30,'Static Data Tab'!$B$2:$B$610,0)), "")</f>
        <v>0</v>
      </c>
      <c r="I30" s="14">
        <f>IFERROR(INDEX('Static Data Tab'!$G$2:$G$610,MATCH(C30,'Static Data Tab'!$B$2:$B$610,0)), "")</f>
        <v>0</v>
      </c>
      <c r="J30" s="14" t="str">
        <f>IFERROR(INDEX('Prior Year Data Pull'!$A$2:$CB$593,MATCH(C30,'Prior Year Data Pull'!$A$2:$A$593,0),MATCH("Quarter Range",'Prior Year Data Pull'!$A$1:$CB$1,0)),"")</f>
        <v xml:space="preserve">10/01/2024-09/30/2025
</v>
      </c>
      <c r="K30" s="37">
        <f t="shared" si="0"/>
        <v>2.8972582044309289E-2</v>
      </c>
      <c r="L30" s="37">
        <f t="shared" si="1"/>
        <v>6.1132391785334854E-2</v>
      </c>
      <c r="M30" s="37">
        <f t="shared" si="2"/>
        <v>9.0104973829644136E-2</v>
      </c>
      <c r="N30" s="38">
        <f t="shared" si="3"/>
        <v>36978000</v>
      </c>
      <c r="O30" s="39">
        <f t="shared" si="4"/>
        <v>2.8847622765773258</v>
      </c>
      <c r="P30" s="38">
        <f>IFERROR(INDEX('Prior Year Data Pull'!$A$2:$CB$593,MATCH('Prior Year Data Table'!$C30,'Prior Year Data Pull'!$A$2:$A$593,0),MATCH("Total Net Assets or Equity",'Prior Year Data Pull'!$A$1:$CB$1,0)),"")</f>
        <v>245933000</v>
      </c>
      <c r="Q30" s="38">
        <f>IFERROR(INDEX('Prior Year Data Pull'!$A$2:$CB$593,MATCH('Prior Year Data Table'!$C30,'Prior Year Data Pull'!$A$2:$A$593,0),MATCH("Total Operating Revenue",'Prior Year Data Pull'!$A$1:$CB$1,0)),"")</f>
        <v>385300000</v>
      </c>
      <c r="R30" s="38">
        <f>IFERROR(INDEX('Prior Year Data Pull'!$A$2:$CB$593,MATCH('Prior Year Data Table'!$C30,'Prior Year Data Pull'!$A$2:$A$593,0),MATCH("Total Unrestricted Revenue Gains and Other Support",'Prior Year Data Pull'!$A$1:$CB$1,0)),"")</f>
        <v>410388000</v>
      </c>
      <c r="S30" s="38">
        <f>IFERROR(INDEX('Prior Year TS Data Pull'!$K$2:$K$607,MATCH(C30,'Prior Year TS Data Pull'!$A$2:$A$607,0))+INDEX('Prior Year TS Data Pull'!$O$2:$O$119,MATCH(C30,'Prior Year TS Data Pull'!$A$2:$A$607,0))+INDEX('Prior Year TS Data Pull'!$S$2:$S$119,MATCH(C30,'Prior Year TS Data Pull'!$A$2:$A$607,0)),"")</f>
        <v>1775661.07</v>
      </c>
      <c r="T30" s="38">
        <f>IF(INDEX('Prior Year TS Data Pull'!$A$1:$O$607,MATCH(C30,'Prior Year TS Data Pull'!$A$1:$A$607,0),MATCH("Temporary RN Staffing:
Line Reported on in Standardized Financials",'Prior Year TS Data Pull'!$A$1:$O$1,0))="66.1: Salary and Benefit Expense",'Prior Year Data Table'!$AV30-'Prior Year Data Table'!$S30,0)</f>
        <v>167952338.93000001</v>
      </c>
      <c r="U30" s="38">
        <f>IFERROR(INDEX('Prior Year Data Pull'!$A$2:$CB$593,MATCH(C30,'Prior Year Data Pull'!$A$2:$A$593,0),MATCH("Total Expenses Including Nonrecurring Gains Losses",'Prior Year Data Pull'!$A$1:$CB$1,0)),"")</f>
        <v>373410000</v>
      </c>
      <c r="V30" s="41">
        <f t="shared" si="5"/>
        <v>21.068508010680908</v>
      </c>
      <c r="W30" s="41">
        <f t="shared" si="6"/>
        <v>38.425627214741318</v>
      </c>
      <c r="X30" s="41">
        <f t="shared" si="7"/>
        <v>54.219069258990046</v>
      </c>
      <c r="Y30" s="37">
        <f t="shared" si="8"/>
        <v>0.36946322982685975</v>
      </c>
      <c r="Z30" s="41">
        <f t="shared" si="9"/>
        <v>130.12137922745404</v>
      </c>
      <c r="AA30" s="39">
        <f t="shared" si="10"/>
        <v>0.4482807343338413</v>
      </c>
      <c r="AB30" s="37">
        <f t="shared" si="11"/>
        <v>0.5460869758301784</v>
      </c>
      <c r="AC30" s="37">
        <f t="shared" si="12"/>
        <v>0.30514670971417718</v>
      </c>
      <c r="AD30" s="38">
        <f>IFERROR(INDEX('Prior Year Data Pull'!$A$2:$CB$593,MATCH(C30,'Prior Year Data Pull'!$A$2:$A$593,0),MATCH("Net Patient Service Revenue",'Prior Year Data Pull'!$A$1:$CB$1,0)),"")</f>
        <v>352750000</v>
      </c>
      <c r="AE30" s="38">
        <f>IFERROR(INDEX('Prior Year Data Pull'!$A$2:$CB$593,MATCH(C30,'Prior Year Data Pull'!$A$2:$A$593,0),MATCH("Total Current Assets",'Prior Year Data Pull'!$A$1:$CB$1,0)),"")</f>
        <v>169950000</v>
      </c>
      <c r="AF30" s="38">
        <f>IFERROR(INDEX('Prior Year Data Pull'!$A$2:$CB$593,MATCH(C30,'Prior Year Data Pull'!$A$2:$A$593,0),MATCH("Total Current Liabilities",'Prior Year Data Pull'!$A$1:$CB$1,0)),"")</f>
        <v>58913000</v>
      </c>
      <c r="AG30" s="38">
        <f>IFERROR(INDEX('Prior Year Data Pull'!$A$2:$CB$593,MATCH(C30,'Prior Year Data Pull'!$A$2:$A$593,0),MATCH("Total Non Operating Revenue",'Prior Year Data Pull'!$A$1:$CB$1,0)),"")</f>
        <v>25088000</v>
      </c>
      <c r="AH30" s="38">
        <f>IFERROR(INDEX('Prior Year Data Pull'!$A$2:$CB$593,MATCH(C30,'Prior Year Data Pull'!$A$2:$A$593,0),MATCH("Less Accumulated Depreciation",'Prior Year Data Pull'!$A$1:$CB$1,0)),"")</f>
        <v>504970000</v>
      </c>
      <c r="AI30" s="38">
        <f>IFERROR(INDEX('Prior Year Data Pull'!$A$2:$CB$593,MATCH(C30,'Prior Year Data Pull'!$A$2:$A$593,0),MATCH("Depreciation and Amortization Expense",'Prior Year Data Pull'!$A$1:$CB$1,0)),"")</f>
        <v>23968000</v>
      </c>
      <c r="AJ30" s="38">
        <f>IFERROR(INDEX('Prior Year Data Pull'!$A$2:$CB$593,MATCH(C30,'Prior Year Data Pull'!$A$2:$A$593,0),MATCH("Net Patient Accounts Receivable",'Prior Year Data Pull'!$A$1:$CB$1,0)),"")</f>
        <v>37136000</v>
      </c>
      <c r="AK30" s="14">
        <v>365</v>
      </c>
      <c r="AL30" s="38">
        <f>IFERROR(INDEX('Prior Year Data Pull'!$A$2:$CB$593,MATCH(C30,'Prior Year Data Pull'!$A$2:$A$593,0),MATCH("Estimated Third Party Settlements",'Prior Year Data Pull'!$A$1:$CB$1,0)),"")</f>
        <v>7005000</v>
      </c>
      <c r="AM30" s="38">
        <f>IFERROR(INDEX('Prior Year Data Pull'!$A$2:$CB$593,MATCH(C30,'Prior Year Data Pull'!$A$2:$A$593,0),MATCH("Current Liabilities due to Affiliates",'Prior Year Data Pull'!$A$1:$CB$1,0)),"")</f>
        <v>16567000</v>
      </c>
      <c r="AN30" s="38">
        <f>IFERROR(INDEX('Prior Year Data Pull'!$A$2:$CB$593,MATCH(C30,'Prior Year Data Pull'!$A$2:$A$593,0),MATCH("Short Term Investments",'Prior Year Data Pull'!$A$1:$CB$1,0)),"")</f>
        <v>124608000</v>
      </c>
      <c r="AO30" s="38">
        <f>IFERROR(INDEX('Prior Year Data Pull'!$A$2:$CB$593,MATCH(C30,'Prior Year Data Pull'!$A$2:$A$593,0),MATCH("Cash and Cash Equivalents",'Prior Year Data Pull'!$A$1:$CB$1,0)),"")</f>
        <v>-33000</v>
      </c>
      <c r="AP30" s="38">
        <f>IFERROR(INDEX('Prior Year Data Pull'!$A$2:$CB$593,MATCH(C30,'Prior Year Data Pull'!$A$2:$A$593,0),MATCH("Interest Expense",'Prior Year Data Pull'!$A$1:$CB$1,0)),"")</f>
        <v>2678000</v>
      </c>
      <c r="AQ30" s="38">
        <f>IFERROR(INDEX('Prior Year Data Pull'!$A$2:$CB$593,MATCH(C30,'Prior Year Data Pull'!$A$2:$A$593,0),MATCH("Long Term Debt Net of Current Portion",'Prior Year Data Pull'!$A$1:$CB$1,0)),"")</f>
        <v>96405000</v>
      </c>
      <c r="AR30" s="38">
        <f>IFERROR(INDEX('Prior Year Data Pull'!$A$2:$CB$593,MATCH(C30,'Prior Year Data Pull'!$A$2:$A$593,0),MATCH("Total Assets",'Prior Year Data Pull'!$A$1:$CB$1,0)),"")</f>
        <v>450355000</v>
      </c>
      <c r="AS30" s="38">
        <f>IFERROR(INDEX('Prior Year Data Pull'!$A$2:$CB$593,MATCH(C30,'Prior Year Data Pull'!$A$2:$A$593,0),MATCH("Long Term Debt Net of Current Portion",'Prior Year Data Pull'!$A$1:$CB$1,0)),"")</f>
        <v>96405000</v>
      </c>
      <c r="AT30" s="38">
        <f>IFERROR(INDEX('Prior Year Data Pull'!$A$2:$CB$593,MATCH(C30,'Prior Year Data Pull'!$A$2:$A$593,0),MATCH("Net Unrestricted Assets",'Prior Year Data Pull'!$A$1:$CB$1,0)),"")</f>
        <v>219525000</v>
      </c>
      <c r="AU30" s="38">
        <f>IFERROR(INDEX('Prior Year Data Pull'!$A$2:$CB$593,MATCH(C30,'Prior Year Data Pull'!$A$2:$A$593,0),MATCH("Unrealized Gains/Losses",'Prior Year Data Pull'!$A$1:$CB$1,0)),"")</f>
        <v>19207000</v>
      </c>
      <c r="AV30" s="38">
        <f>IFERROR(INDEX('Prior Year Data Pull'!$A$2:$CB$593,MATCH(C30,'Prior Year Data Pull'!$A$2:$A$593,0),MATCH("Salary and Benefit Expense",'Prior Year Data Pull'!$A$1:$CB$1,0)),"")</f>
        <v>169728000</v>
      </c>
    </row>
    <row r="31" spans="1:48" ht="34.200000000000003" x14ac:dyDescent="0.3">
      <c r="A31" s="46" t="str">
        <f>IFERROR(INDEX('Static Data Tab'!$N$2:$N$610,MATCH(D31,'Static Data Tab'!$D$2:$D$610,0)), "")</f>
        <v>Mass General Brigham</v>
      </c>
      <c r="B31" s="46" t="s">
        <v>148</v>
      </c>
      <c r="C31" s="46">
        <v>101</v>
      </c>
      <c r="D31" s="46">
        <v>3791</v>
      </c>
      <c r="E31" s="46" t="str">
        <f>IFERROR(INDEX('Prior Year Data Pull'!$A$1:$CB$593,MATCH(C31,'Prior Year Data Pull'!$A$1:$A$593,0),MATCH("Organization Type",'Prior Year Data Pull'!$A$1:$CB$1,0)),"")</f>
        <v>AcuteHospital</v>
      </c>
      <c r="F31" s="46" t="str">
        <f>IFERROR(INDEX('Static Data Tab'!$E$2:$E$610,MATCH(C31,'Static Data Tab'!$B$2:$B$610,0)), "-")</f>
        <v>Community Hospital</v>
      </c>
      <c r="G31" s="46" t="str">
        <f>IFERROR(INDEX('Static Data Tab'!$J$2:$J$610,MATCH(C31,'Static Data Tab'!$B$2:$B$610,0)), "")</f>
        <v>Cape and Islands</v>
      </c>
      <c r="H31" s="46">
        <f>IFERROR(INDEX('Static Data Tab'!$F$2:$F$610,MATCH(C31,'Static Data Tab'!$B$2:$B$610,0)), "")</f>
        <v>0</v>
      </c>
      <c r="I31" s="46">
        <f>IFERROR(INDEX('Static Data Tab'!$G$2:$G$610,MATCH(C31,'Static Data Tab'!$B$2:$B$610,0)), "")</f>
        <v>0</v>
      </c>
      <c r="J31" s="46" t="str">
        <f>IFERROR(INDEX('Prior Year Data Pull'!$A$2:$CB$593,MATCH(C31,'Prior Year Data Pull'!$A$2:$A$593,0),MATCH("Quarter Range",'Prior Year Data Pull'!$A$1:$CB$1,0)),"")</f>
        <v xml:space="preserve">10/01/2024-09/30/2025
</v>
      </c>
      <c r="K31" s="45">
        <f t="shared" si="0"/>
        <v>-4.7911720824614576E-2</v>
      </c>
      <c r="L31" s="45">
        <f t="shared" si="1"/>
        <v>5.9697291007872688E-2</v>
      </c>
      <c r="M31" s="45">
        <f t="shared" si="2"/>
        <v>1.1785570183258109E-2</v>
      </c>
      <c r="N31" s="47">
        <f t="shared" si="3"/>
        <v>1256000</v>
      </c>
      <c r="O31" s="265">
        <f t="shared" si="4"/>
        <v>3.1320228449993359</v>
      </c>
      <c r="P31" s="47">
        <f>IFERROR(INDEX('Prior Year Data Pull'!$A$2:$CB$593,MATCH('Prior Year Data Table'!$C31,'Prior Year Data Pull'!$A$2:$A$593,0),MATCH("Total Net Assets or Equity",'Prior Year Data Pull'!$A$1:$CB$1,0)),"")</f>
        <v>185402000</v>
      </c>
      <c r="Q31" s="47">
        <f>IFERROR(INDEX('Prior Year Data Pull'!$A$2:$CB$593,MATCH('Prior Year Data Table'!$C31,'Prior Year Data Pull'!$A$2:$A$593,0),MATCH("Total Operating Revenue",'Prior Year Data Pull'!$A$1:$CB$1,0)),"")</f>
        <v>100209000</v>
      </c>
      <c r="R31" s="47">
        <f>IFERROR(INDEX('Prior Year Data Pull'!$A$2:$CB$593,MATCH('Prior Year Data Table'!$C31,'Prior Year Data Pull'!$A$2:$A$593,0),MATCH("Total Unrestricted Revenue Gains and Other Support",'Prior Year Data Pull'!$A$1:$CB$1,0)),"")</f>
        <v>106571000</v>
      </c>
      <c r="S31" s="47">
        <f>IFERROR(INDEX('Prior Year TS Data Pull'!$K$2:$K$607,MATCH(C31,'Prior Year TS Data Pull'!$A$2:$A$607,0))+INDEX('Prior Year TS Data Pull'!$O$2:$O$119,MATCH(C31,'Prior Year TS Data Pull'!$A$2:$A$607,0))+INDEX('Prior Year TS Data Pull'!$S$2:$S$119,MATCH(C31,'Prior Year TS Data Pull'!$A$2:$A$607,0)),"")</f>
        <v>2583747.9022666668</v>
      </c>
      <c r="T31" s="47">
        <f>IF(INDEX('Prior Year TS Data Pull'!$A$1:$O$607,MATCH(C31,'Prior Year TS Data Pull'!$A$1:$A$607,0),MATCH("Temporary RN Staffing:
Line Reported on in Standardized Financials",'Prior Year TS Data Pull'!$A$1:$O$1,0))="66.1: Salary and Benefit Expense",'Prior Year Data Table'!$AV31-'Prior Year Data Table'!$S31,0)</f>
        <v>0</v>
      </c>
      <c r="U31" s="47">
        <f>IFERROR(INDEX('Prior Year Data Pull'!$A$2:$CB$593,MATCH(C31,'Prior Year Data Pull'!$A$2:$A$593,0),MATCH("Total Expenses Including Nonrecurring Gains Losses",'Prior Year Data Pull'!$A$1:$CB$1,0)),"")</f>
        <v>105315000</v>
      </c>
      <c r="V31" s="266">
        <f t="shared" si="5"/>
        <v>8.2021694702090873</v>
      </c>
      <c r="W31" s="266">
        <f t="shared" si="6"/>
        <v>70.165765483688389</v>
      </c>
      <c r="X31" s="266">
        <f t="shared" si="7"/>
        <v>55.026274834771712</v>
      </c>
      <c r="Y31" s="45">
        <f t="shared" si="8"/>
        <v>0.73688516208201249</v>
      </c>
      <c r="Z31" s="266">
        <f t="shared" si="9"/>
        <v>33.341097883865231</v>
      </c>
      <c r="AA31" s="265">
        <f t="shared" si="10"/>
        <v>4.5678549093183243</v>
      </c>
      <c r="AB31" s="45">
        <f t="shared" si="11"/>
        <v>0.90727229130270959</v>
      </c>
      <c r="AC31" s="45">
        <f t="shared" si="12"/>
        <v>1.1688847702335433E-2</v>
      </c>
      <c r="AD31" s="47">
        <f>IFERROR(INDEX('Prior Year Data Pull'!$A$2:$CB$593,MATCH(C31,'Prior Year Data Pull'!$A$2:$A$593,0),MATCH("Net Patient Service Revenue",'Prior Year Data Pull'!$A$1:$CB$1,0)),"")</f>
        <v>83039000</v>
      </c>
      <c r="AE31" s="47">
        <f>IFERROR(INDEX('Prior Year Data Pull'!$A$2:$CB$593,MATCH(C31,'Prior Year Data Pull'!$A$2:$A$593,0),MATCH("Total Current Assets",'Prior Year Data Pull'!$A$1:$CB$1,0)),"")</f>
        <v>47162000</v>
      </c>
      <c r="AF31" s="47">
        <f>IFERROR(INDEX('Prior Year Data Pull'!$A$2:$CB$593,MATCH(C31,'Prior Year Data Pull'!$A$2:$A$593,0),MATCH("Total Current Liabilities",'Prior Year Data Pull'!$A$1:$CB$1,0)),"")</f>
        <v>15058000</v>
      </c>
      <c r="AG31" s="47">
        <f>IFERROR(INDEX('Prior Year Data Pull'!$A$2:$CB$593,MATCH(C31,'Prior Year Data Pull'!$A$2:$A$593,0),MATCH("Total Non Operating Revenue",'Prior Year Data Pull'!$A$1:$CB$1,0)),"")</f>
        <v>6362000</v>
      </c>
      <c r="AH31" s="47">
        <f>IFERROR(INDEX('Prior Year Data Pull'!$A$2:$CB$593,MATCH(C31,'Prior Year Data Pull'!$A$2:$A$593,0),MATCH("Less Accumulated Depreciation",'Prior Year Data Pull'!$A$1:$CB$1,0)),"")</f>
        <v>52174000</v>
      </c>
      <c r="AI31" s="47">
        <f>IFERROR(INDEX('Prior Year Data Pull'!$A$2:$CB$593,MATCH(C31,'Prior Year Data Pull'!$A$2:$A$593,0),MATCH("Depreciation and Amortization Expense",'Prior Year Data Pull'!$A$1:$CB$1,0)),"")</f>
        <v>6361000</v>
      </c>
      <c r="AJ31" s="47">
        <f>IFERROR(INDEX('Prior Year Data Pull'!$A$2:$CB$593,MATCH(C31,'Prior Year Data Pull'!$A$2:$A$593,0),MATCH("Net Patient Accounts Receivable",'Prior Year Data Pull'!$A$1:$CB$1,0)),"")</f>
        <v>15963000</v>
      </c>
      <c r="AK31" s="46">
        <v>365</v>
      </c>
      <c r="AL31" s="47">
        <f>IFERROR(INDEX('Prior Year Data Pull'!$A$2:$CB$593,MATCH(C31,'Prior Year Data Pull'!$A$2:$A$593,0),MATCH("Estimated Third Party Settlements",'Prior Year Data Pull'!$A$1:$CB$1,0)),"")</f>
        <v>140000</v>
      </c>
      <c r="AM31" s="47">
        <f>IFERROR(INDEX('Prior Year Data Pull'!$A$2:$CB$593,MATCH(C31,'Prior Year Data Pull'!$A$2:$A$593,0),MATCH("Current Liabilities due to Affiliates",'Prior Year Data Pull'!$A$1:$CB$1,0)),"")</f>
        <v>8278000</v>
      </c>
      <c r="AN31" s="47">
        <f>IFERROR(INDEX('Prior Year Data Pull'!$A$2:$CB$593,MATCH(C31,'Prior Year Data Pull'!$A$2:$A$593,0),MATCH("Short Term Investments",'Prior Year Data Pull'!$A$1:$CB$1,0)),"")</f>
        <v>-14335000</v>
      </c>
      <c r="AO31" s="47">
        <f>IFERROR(INDEX('Prior Year Data Pull'!$A$2:$CB$593,MATCH(C31,'Prior Year Data Pull'!$A$2:$A$593,0),MATCH("Cash and Cash Equivalents",'Prior Year Data Pull'!$A$1:$CB$1,0)),"")</f>
        <v>23374000</v>
      </c>
      <c r="AP31" s="47">
        <f>IFERROR(INDEX('Prior Year Data Pull'!$A$2:$CB$593,MATCH(C31,'Prior Year Data Pull'!$A$2:$A$593,0),MATCH("Interest Expense",'Prior Year Data Pull'!$A$1:$CB$1,0)),"")</f>
        <v>98000</v>
      </c>
      <c r="AQ31" s="47">
        <f>IFERROR(INDEX('Prior Year Data Pull'!$A$2:$CB$593,MATCH(C31,'Prior Year Data Pull'!$A$2:$A$593,0),MATCH("Long Term Debt Net of Current Portion",'Prior Year Data Pull'!$A$1:$CB$1,0)),"")</f>
        <v>1501000</v>
      </c>
      <c r="AR31" s="47">
        <f>IFERROR(INDEX('Prior Year Data Pull'!$A$2:$CB$593,MATCH(C31,'Prior Year Data Pull'!$A$2:$A$593,0),MATCH("Total Assets",'Prior Year Data Pull'!$A$1:$CB$1,0)),"")</f>
        <v>204351000</v>
      </c>
      <c r="AS31" s="47">
        <f>IFERROR(INDEX('Prior Year Data Pull'!$A$2:$CB$593,MATCH(C31,'Prior Year Data Pull'!$A$2:$A$593,0),MATCH("Long Term Debt Net of Current Portion",'Prior Year Data Pull'!$A$1:$CB$1,0)),"")</f>
        <v>1501000</v>
      </c>
      <c r="AT31" s="47">
        <f>IFERROR(INDEX('Prior Year Data Pull'!$A$2:$CB$593,MATCH(C31,'Prior Year Data Pull'!$A$2:$A$593,0),MATCH("Net Unrestricted Assets",'Prior Year Data Pull'!$A$1:$CB$1,0)),"")</f>
        <v>126912000</v>
      </c>
      <c r="AU31" s="47">
        <f>IFERROR(INDEX('Prior Year Data Pull'!$A$2:$CB$593,MATCH(C31,'Prior Year Data Pull'!$A$2:$A$593,0),MATCH("Unrealized Gains/Losses",'Prior Year Data Pull'!$A$1:$CB$1,0)),"")</f>
        <v>411000</v>
      </c>
      <c r="AV31" s="47">
        <f>IFERROR(INDEX('Prior Year Data Pull'!$A$2:$CB$593,MATCH(C31,'Prior Year Data Pull'!$A$2:$A$593,0),MATCH("Salary and Benefit Expense",'Prior Year Data Pull'!$A$1:$CB$1,0)),"")</f>
        <v>52415000</v>
      </c>
    </row>
    <row r="32" spans="1:48" ht="34.200000000000003" x14ac:dyDescent="0.3">
      <c r="A32" s="14" t="str">
        <f>IFERROR(INDEX('Static Data Tab'!$N$2:$N$610,MATCH(D32,'Static Data Tab'!$D$2:$D$610,0)), "")</f>
        <v>Beth Israel Lahey Health</v>
      </c>
      <c r="B32" s="14" t="s">
        <v>98</v>
      </c>
      <c r="C32" s="14">
        <v>103</v>
      </c>
      <c r="D32" s="14">
        <v>16665</v>
      </c>
      <c r="E32" s="14" t="str">
        <f>IFERROR(INDEX('Prior Year Data Pull'!$A$1:$CB$593,MATCH(C32,'Prior Year Data Pull'!$A$1:$A$593,0),MATCH("Organization Type",'Prior Year Data Pull'!$A$1:$CB$1,0)),"")</f>
        <v>AcuteHospital</v>
      </c>
      <c r="F32" s="14" t="str">
        <f>IFERROR(INDEX('Static Data Tab'!$E$2:$E$610,MATCH(C32,'Static Data Tab'!$B$2:$B$610,0)), "-")</f>
        <v>Specialty Hospital</v>
      </c>
      <c r="G32" s="14" t="str">
        <f>IFERROR(INDEX('Static Data Tab'!$J$2:$J$610,MATCH(C32,'Static Data Tab'!$B$2:$B$610,0)), "")</f>
        <v>Metro Boston</v>
      </c>
      <c r="H32" s="14">
        <f>IFERROR(INDEX('Static Data Tab'!$F$2:$F$610,MATCH(C32,'Static Data Tab'!$B$2:$B$610,0)), "")</f>
        <v>0</v>
      </c>
      <c r="I32" s="14">
        <f>IFERROR(INDEX('Static Data Tab'!$G$2:$G$610,MATCH(C32,'Static Data Tab'!$B$2:$B$610,0)), "")</f>
        <v>0</v>
      </c>
      <c r="J32" s="14" t="str">
        <f>IFERROR(INDEX('Prior Year Data Pull'!$A$2:$CB$593,MATCH(C32,'Prior Year Data Pull'!$A$2:$A$593,0),MATCH("Quarter Range",'Prior Year Data Pull'!$A$1:$CB$1,0)),"")</f>
        <v xml:space="preserve">10/01/2024-09/30/2025
</v>
      </c>
      <c r="K32" s="37">
        <f t="shared" si="0"/>
        <v>-9.1599457300067841E-2</v>
      </c>
      <c r="L32" s="37">
        <f t="shared" si="1"/>
        <v>3.8789854526268187E-2</v>
      </c>
      <c r="M32" s="37">
        <f t="shared" si="2"/>
        <v>-5.2809602773799653E-2</v>
      </c>
      <c r="N32" s="38">
        <f t="shared" si="3"/>
        <v>-11210000</v>
      </c>
      <c r="O32" s="39">
        <f t="shared" si="4"/>
        <v>4.8101630640879787</v>
      </c>
      <c r="P32" s="38">
        <f>IFERROR(INDEX('Prior Year Data Pull'!$A$2:$CB$593,MATCH('Prior Year Data Table'!$C32,'Prior Year Data Pull'!$A$2:$A$593,0),MATCH("Total Net Assets or Equity",'Prior Year Data Pull'!$A$1:$CB$1,0)),"")</f>
        <v>176857000</v>
      </c>
      <c r="Q32" s="38">
        <f>IFERROR(INDEX('Prior Year Data Pull'!$A$2:$CB$593,MATCH('Prior Year Data Table'!$C32,'Prior Year Data Pull'!$A$2:$A$593,0),MATCH("Total Operating Revenue",'Prior Year Data Pull'!$A$1:$CB$1,0)),"")</f>
        <v>204038000</v>
      </c>
      <c r="R32" s="38">
        <f>IFERROR(INDEX('Prior Year Data Pull'!$A$2:$CB$593,MATCH('Prior Year Data Table'!$C32,'Prior Year Data Pull'!$A$2:$A$593,0),MATCH("Total Unrestricted Revenue Gains and Other Support",'Prior Year Data Pull'!$A$1:$CB$1,0)),"")</f>
        <v>212272000</v>
      </c>
      <c r="S32" s="38">
        <f>IFERROR(INDEX('Prior Year TS Data Pull'!$K$2:$K$607,MATCH(C32,'Prior Year TS Data Pull'!$A$2:$A$607,0))+INDEX('Prior Year TS Data Pull'!$O$2:$O$119,MATCH(C32,'Prior Year TS Data Pull'!$A$2:$A$607,0))+INDEX('Prior Year TS Data Pull'!$S$2:$S$119,MATCH(C32,'Prior Year TS Data Pull'!$A$2:$A$607,0)),"")</f>
        <v>199671.56</v>
      </c>
      <c r="T32" s="38">
        <f>IF(INDEX('Prior Year TS Data Pull'!$A$1:$O$607,MATCH(C32,'Prior Year TS Data Pull'!$A$1:$A$607,0),MATCH("Temporary RN Staffing:
Line Reported on in Standardized Financials",'Prior Year TS Data Pull'!$A$1:$O$1,0))="66.1: Salary and Benefit Expense",'Prior Year Data Table'!$AV32-'Prior Year Data Table'!$S32,0)</f>
        <v>83273328.439999998</v>
      </c>
      <c r="U32" s="38">
        <f>IFERROR(INDEX('Prior Year Data Pull'!$A$2:$CB$593,MATCH(C32,'Prior Year Data Pull'!$A$2:$A$593,0),MATCH("Total Expenses Including Nonrecurring Gains Losses",'Prior Year Data Pull'!$A$1:$CB$1,0)),"")</f>
        <v>223482000</v>
      </c>
      <c r="V32" s="41">
        <f t="shared" si="5"/>
        <v>23.330675172780435</v>
      </c>
      <c r="W32" s="41">
        <f t="shared" si="6"/>
        <v>41.536484638781147</v>
      </c>
      <c r="X32" s="41">
        <f t="shared" si="7"/>
        <v>40.612957020137614</v>
      </c>
      <c r="Y32" s="37">
        <f t="shared" si="8"/>
        <v>-0.20649296724970156</v>
      </c>
      <c r="Z32" s="41">
        <f t="shared" si="9"/>
        <v>149.89795727705453</v>
      </c>
      <c r="AA32" s="39">
        <f t="shared" si="10"/>
        <v>-0.16393360538767743</v>
      </c>
      <c r="AB32" s="37">
        <f t="shared" si="11"/>
        <v>0.67122991323885506</v>
      </c>
      <c r="AC32" s="37">
        <f t="shared" si="12"/>
        <v>0.22153998286736001</v>
      </c>
      <c r="AD32" s="38">
        <f>IFERROR(INDEX('Prior Year Data Pull'!$A$2:$CB$593,MATCH(C32,'Prior Year Data Pull'!$A$2:$A$593,0),MATCH("Net Patient Service Revenue",'Prior Year Data Pull'!$A$1:$CB$1,0)),"")</f>
        <v>179185000</v>
      </c>
      <c r="AE32" s="38">
        <f>IFERROR(INDEX('Prior Year Data Pull'!$A$2:$CB$593,MATCH(C32,'Prior Year Data Pull'!$A$2:$A$593,0),MATCH("Total Current Assets",'Prior Year Data Pull'!$A$1:$CB$1,0)),"")</f>
        <v>126844000</v>
      </c>
      <c r="AF32" s="38">
        <f>IFERROR(INDEX('Prior Year Data Pull'!$A$2:$CB$593,MATCH(C32,'Prior Year Data Pull'!$A$2:$A$593,0),MATCH("Total Current Liabilities",'Prior Year Data Pull'!$A$1:$CB$1,0)),"")</f>
        <v>26370000</v>
      </c>
      <c r="AG32" s="38">
        <f>IFERROR(INDEX('Prior Year Data Pull'!$A$2:$CB$593,MATCH(C32,'Prior Year Data Pull'!$A$2:$A$593,0),MATCH("Total Non Operating Revenue",'Prior Year Data Pull'!$A$1:$CB$1,0)),"")</f>
        <v>8234000</v>
      </c>
      <c r="AH32" s="38">
        <f>IFERROR(INDEX('Prior Year Data Pull'!$A$2:$CB$593,MATCH(C32,'Prior Year Data Pull'!$A$2:$A$593,0),MATCH("Less Accumulated Depreciation",'Prior Year Data Pull'!$A$1:$CB$1,0)),"")</f>
        <v>219425000</v>
      </c>
      <c r="AI32" s="38">
        <f>IFERROR(INDEX('Prior Year Data Pull'!$A$2:$CB$593,MATCH(C32,'Prior Year Data Pull'!$A$2:$A$593,0),MATCH("Depreciation and Amortization Expense",'Prior Year Data Pull'!$A$1:$CB$1,0)),"")</f>
        <v>9405000</v>
      </c>
      <c r="AJ32" s="38">
        <f>IFERROR(INDEX('Prior Year Data Pull'!$A$2:$CB$593,MATCH(C32,'Prior Year Data Pull'!$A$2:$A$593,0),MATCH("Net Patient Accounts Receivable",'Prior Year Data Pull'!$A$1:$CB$1,0)),"")</f>
        <v>20391000</v>
      </c>
      <c r="AK32" s="14">
        <v>365</v>
      </c>
      <c r="AL32" s="38">
        <f>IFERROR(INDEX('Prior Year Data Pull'!$A$2:$CB$593,MATCH(C32,'Prior Year Data Pull'!$A$2:$A$593,0),MATCH("Estimated Third Party Settlements",'Prior Year Data Pull'!$A$1:$CB$1,0)),"")</f>
        <v>2550000</v>
      </c>
      <c r="AM32" s="38">
        <f>IFERROR(INDEX('Prior Year Data Pull'!$A$2:$CB$593,MATCH(C32,'Prior Year Data Pull'!$A$2:$A$593,0),MATCH("Current Liabilities due to Affiliates",'Prior Year Data Pull'!$A$1:$CB$1,0)),"")</f>
        <v>0</v>
      </c>
      <c r="AN32" s="38">
        <f>IFERROR(INDEX('Prior Year Data Pull'!$A$2:$CB$593,MATCH(C32,'Prior Year Data Pull'!$A$2:$A$593,0),MATCH("Short Term Investments",'Prior Year Data Pull'!$A$1:$CB$1,0)),"")</f>
        <v>88508000</v>
      </c>
      <c r="AO32" s="38">
        <f>IFERROR(INDEX('Prior Year Data Pull'!$A$2:$CB$593,MATCH(C32,'Prior Year Data Pull'!$A$2:$A$593,0),MATCH("Cash and Cash Equivalents",'Prior Year Data Pull'!$A$1:$CB$1,0)),"")</f>
        <v>-591000</v>
      </c>
      <c r="AP32" s="38">
        <f>IFERROR(INDEX('Prior Year Data Pull'!$A$2:$CB$593,MATCH(C32,'Prior Year Data Pull'!$A$2:$A$593,0),MATCH("Interest Expense",'Prior Year Data Pull'!$A$1:$CB$1,0)),"")</f>
        <v>1409000</v>
      </c>
      <c r="AQ32" s="38">
        <f>IFERROR(INDEX('Prior Year Data Pull'!$A$2:$CB$593,MATCH(C32,'Prior Year Data Pull'!$A$2:$A$593,0),MATCH("Long Term Debt Net of Current Portion",'Prior Year Data Pull'!$A$1:$CB$1,0)),"")</f>
        <v>38534000</v>
      </c>
      <c r="AR32" s="38">
        <f>IFERROR(INDEX('Prior Year Data Pull'!$A$2:$CB$593,MATCH(C32,'Prior Year Data Pull'!$A$2:$A$593,0),MATCH("Total Assets",'Prior Year Data Pull'!$A$1:$CB$1,0)),"")</f>
        <v>263482000</v>
      </c>
      <c r="AS32" s="38">
        <f>IFERROR(INDEX('Prior Year Data Pull'!$A$2:$CB$593,MATCH(C32,'Prior Year Data Pull'!$A$2:$A$593,0),MATCH("Long Term Debt Net of Current Portion",'Prior Year Data Pull'!$A$1:$CB$1,0)),"")</f>
        <v>38534000</v>
      </c>
      <c r="AT32" s="38">
        <f>IFERROR(INDEX('Prior Year Data Pull'!$A$2:$CB$593,MATCH(C32,'Prior Year Data Pull'!$A$2:$A$593,0),MATCH("Net Unrestricted Assets",'Prior Year Data Pull'!$A$1:$CB$1,0)),"")</f>
        <v>135403000</v>
      </c>
      <c r="AU32" s="38">
        <f>IFERROR(INDEX('Prior Year Data Pull'!$A$2:$CB$593,MATCH(C32,'Prior Year Data Pull'!$A$2:$A$593,0),MATCH("Unrealized Gains/Losses",'Prior Year Data Pull'!$A$1:$CB$1,0)),"")</f>
        <v>6152000</v>
      </c>
      <c r="AV32" s="38">
        <f>IFERROR(INDEX('Prior Year Data Pull'!$A$2:$CB$593,MATCH(C32,'Prior Year Data Pull'!$A$2:$A$593,0),MATCH("Salary and Benefit Expense",'Prior Year Data Pull'!$A$1:$CB$1,0)),"")</f>
        <v>83473000</v>
      </c>
    </row>
    <row r="33" spans="1:48" ht="34.200000000000003" x14ac:dyDescent="0.3">
      <c r="A33" s="46" t="str">
        <f>IFERROR(INDEX('Static Data Tab'!$N$2:$N$610,MATCH(D33,'Static Data Tab'!$D$2:$D$610,0)), "")</f>
        <v>Tufts Medicine</v>
      </c>
      <c r="B33" s="46" t="s">
        <v>193</v>
      </c>
      <c r="C33" s="46">
        <v>104</v>
      </c>
      <c r="D33" s="46">
        <v>12775</v>
      </c>
      <c r="E33" s="46" t="str">
        <f>IFERROR(INDEX('Prior Year Data Pull'!$A$1:$CB$593,MATCH(C33,'Prior Year Data Pull'!$A$1:$A$593,0),MATCH("Organization Type",'Prior Year Data Pull'!$A$1:$CB$1,0)),"")</f>
        <v>AcuteHospital</v>
      </c>
      <c r="F33" s="46" t="str">
        <f>IFERROR(INDEX('Static Data Tab'!$E$2:$E$610,MATCH(C33,'Static Data Tab'!$B$2:$B$610,0)), "-")</f>
        <v>Academic Medical Center</v>
      </c>
      <c r="G33" s="46" t="str">
        <f>IFERROR(INDEX('Static Data Tab'!$J$2:$J$610,MATCH(C33,'Static Data Tab'!$B$2:$B$610,0)), "")</f>
        <v>Metro Boston</v>
      </c>
      <c r="H33" s="46" t="str">
        <f>IFERROR(INDEX('Static Data Tab'!$F$2:$F$610,MATCH(C33,'Static Data Tab'!$B$2:$B$610,0)), "")</f>
        <v>x</v>
      </c>
      <c r="I33" s="46" t="str">
        <f>IFERROR(INDEX('Static Data Tab'!$G$2:$G$610,MATCH(C33,'Static Data Tab'!$B$2:$B$610,0)), "")</f>
        <v>x</v>
      </c>
      <c r="J33" s="46" t="str">
        <f>IFERROR(INDEX('Prior Year Data Pull'!$A$2:$CB$593,MATCH(C33,'Prior Year Data Pull'!$A$2:$A$593,0),MATCH("Quarter Range",'Prior Year Data Pull'!$A$1:$CB$1,0)),"")</f>
        <v xml:space="preserve">10/01/2024-09/30/2025
</v>
      </c>
      <c r="K33" s="45">
        <f t="shared" si="0"/>
        <v>3.6545750925415559E-2</v>
      </c>
      <c r="L33" s="45">
        <f t="shared" si="1"/>
        <v>1.270895321590069E-3</v>
      </c>
      <c r="M33" s="45">
        <f t="shared" si="2"/>
        <v>3.7816646247005627E-2</v>
      </c>
      <c r="N33" s="47">
        <f t="shared" si="3"/>
        <v>57905000</v>
      </c>
      <c r="O33" s="265">
        <f t="shared" si="4"/>
        <v>2.0341095621922238</v>
      </c>
      <c r="P33" s="47">
        <f>IFERROR(INDEX('Prior Year Data Pull'!$A$2:$CB$593,MATCH('Prior Year Data Table'!$C33,'Prior Year Data Pull'!$A$2:$A$593,0),MATCH("Total Net Assets or Equity",'Prior Year Data Pull'!$A$1:$CB$1,0)),"")</f>
        <v>-140286000</v>
      </c>
      <c r="Q33" s="47">
        <f>IFERROR(INDEX('Prior Year Data Pull'!$A$2:$CB$593,MATCH('Prior Year Data Table'!$C33,'Prior Year Data Pull'!$A$2:$A$593,0),MATCH("Total Operating Revenue",'Prior Year Data Pull'!$A$1:$CB$1,0)),"")</f>
        <v>1529258000</v>
      </c>
      <c r="R33" s="47">
        <f>IFERROR(INDEX('Prior Year Data Pull'!$A$2:$CB$593,MATCH('Prior Year Data Table'!$C33,'Prior Year Data Pull'!$A$2:$A$593,0),MATCH("Total Unrestricted Revenue Gains and Other Support",'Prior Year Data Pull'!$A$1:$CB$1,0)),"")</f>
        <v>1531204000</v>
      </c>
      <c r="S33" s="47" t="str">
        <f>IFERROR(INDEX('Prior Year TS Data Pull'!$K$2:$K$607,MATCH(C33,'Prior Year TS Data Pull'!$A$2:$A$607,0))+INDEX('Prior Year TS Data Pull'!$O$2:$O$119,MATCH(C33,'Prior Year TS Data Pull'!$A$2:$A$607,0))+INDEX('Prior Year TS Data Pull'!$S$2:$S$119,MATCH(C33,'Prior Year TS Data Pull'!$A$2:$A$607,0)),"")</f>
        <v/>
      </c>
      <c r="T33" s="47" t="e">
        <f>IF(INDEX('Prior Year TS Data Pull'!$A$1:$O$607,MATCH(C33,'Prior Year TS Data Pull'!$A$1:$A$607,0),MATCH("Temporary RN Staffing:
Line Reported on in Standardized Financials",'Prior Year TS Data Pull'!$A$1:$O$1,0))="66.1: Salary and Benefit Expense",'Prior Year Data Table'!$AV33-'Prior Year Data Table'!$S33,0)</f>
        <v>#N/A</v>
      </c>
      <c r="U33" s="47">
        <f>IFERROR(INDEX('Prior Year Data Pull'!$A$2:$CB$593,MATCH(C33,'Prior Year Data Pull'!$A$2:$A$593,0),MATCH("Total Expenses Including Nonrecurring Gains Losses",'Prior Year Data Pull'!$A$1:$CB$1,0)),"")</f>
        <v>1473299000</v>
      </c>
      <c r="V33" s="266">
        <f t="shared" si="5"/>
        <v>14.294946734482147</v>
      </c>
      <c r="W33" s="266">
        <f t="shared" si="6"/>
        <v>51.912083495816866</v>
      </c>
      <c r="X33" s="266">
        <f t="shared" si="7"/>
        <v>41.157137078212834</v>
      </c>
      <c r="Y33" s="45">
        <f t="shared" si="8"/>
        <v>0.12221745906566865</v>
      </c>
      <c r="Z33" s="266">
        <f t="shared" si="9"/>
        <v>8.34028233062255</v>
      </c>
      <c r="AA33" s="265">
        <f t="shared" si="10"/>
        <v>0.15060620536605129</v>
      </c>
      <c r="AB33" s="45">
        <f t="shared" si="11"/>
        <v>-0.16023785645915525</v>
      </c>
      <c r="AC33" s="45">
        <f t="shared" si="12"/>
        <v>1.2440226128543754</v>
      </c>
      <c r="AD33" s="47">
        <f>IFERROR(INDEX('Prior Year Data Pull'!$A$2:$CB$593,MATCH(C33,'Prior Year Data Pull'!$A$2:$A$593,0),MATCH("Net Patient Service Revenue",'Prior Year Data Pull'!$A$1:$CB$1,0)),"")</f>
        <v>1174478000</v>
      </c>
      <c r="AE33" s="47">
        <f>IFERROR(INDEX('Prior Year Data Pull'!$A$2:$CB$593,MATCH(C33,'Prior Year Data Pull'!$A$2:$A$593,0),MATCH("Total Current Assets",'Prior Year Data Pull'!$A$1:$CB$1,0)),"")</f>
        <v>332105000</v>
      </c>
      <c r="AF33" s="47">
        <f>IFERROR(INDEX('Prior Year Data Pull'!$A$2:$CB$593,MATCH(C33,'Prior Year Data Pull'!$A$2:$A$593,0),MATCH("Total Current Liabilities",'Prior Year Data Pull'!$A$1:$CB$1,0)),"")</f>
        <v>163268000</v>
      </c>
      <c r="AG33" s="47">
        <f>IFERROR(INDEX('Prior Year Data Pull'!$A$2:$CB$593,MATCH(C33,'Prior Year Data Pull'!$A$2:$A$593,0),MATCH("Total Non Operating Revenue",'Prior Year Data Pull'!$A$1:$CB$1,0)),"")</f>
        <v>1946000</v>
      </c>
      <c r="AH33" s="47">
        <f>IFERROR(INDEX('Prior Year Data Pull'!$A$2:$CB$593,MATCH(C33,'Prior Year Data Pull'!$A$2:$A$593,0),MATCH("Less Accumulated Depreciation",'Prior Year Data Pull'!$A$1:$CB$1,0)),"")</f>
        <v>564922000</v>
      </c>
      <c r="AI33" s="47">
        <f>IFERROR(INDEX('Prior Year Data Pull'!$A$2:$CB$593,MATCH(C33,'Prior Year Data Pull'!$A$2:$A$593,0),MATCH("Depreciation and Amortization Expense",'Prior Year Data Pull'!$A$1:$CB$1,0)),"")</f>
        <v>39519000</v>
      </c>
      <c r="AJ33" s="47">
        <f>IFERROR(INDEX('Prior Year Data Pull'!$A$2:$CB$593,MATCH(C33,'Prior Year Data Pull'!$A$2:$A$593,0),MATCH("Net Patient Accounts Receivable",'Prior Year Data Pull'!$A$1:$CB$1,0)),"")</f>
        <v>167040000</v>
      </c>
      <c r="AK33" s="46">
        <v>365</v>
      </c>
      <c r="AL33" s="47">
        <f>IFERROR(INDEX('Prior Year Data Pull'!$A$2:$CB$593,MATCH(C33,'Prior Year Data Pull'!$A$2:$A$593,0),MATCH("Estimated Third Party Settlements",'Prior Year Data Pull'!$A$1:$CB$1,0)),"")</f>
        <v>1596000</v>
      </c>
      <c r="AM33" s="47">
        <f>IFERROR(INDEX('Prior Year Data Pull'!$A$2:$CB$593,MATCH(C33,'Prior Year Data Pull'!$A$2:$A$593,0),MATCH("Current Liabilities due to Affiliates",'Prior Year Data Pull'!$A$1:$CB$1,0)),"")</f>
        <v>0</v>
      </c>
      <c r="AN33" s="47">
        <f>IFERROR(INDEX('Prior Year Data Pull'!$A$2:$CB$593,MATCH(C33,'Prior Year Data Pull'!$A$2:$A$593,0),MATCH("Short Term Investments",'Prior Year Data Pull'!$A$1:$CB$1,0)),"")</f>
        <v>0</v>
      </c>
      <c r="AO33" s="47">
        <f>IFERROR(INDEX('Prior Year Data Pull'!$A$2:$CB$593,MATCH(C33,'Prior Year Data Pull'!$A$2:$A$593,0),MATCH("Cash and Cash Equivalents",'Prior Year Data Pull'!$A$1:$CB$1,0)),"")</f>
        <v>32762000</v>
      </c>
      <c r="AP33" s="47">
        <f>IFERROR(INDEX('Prior Year Data Pull'!$A$2:$CB$593,MATCH(C33,'Prior Year Data Pull'!$A$2:$A$593,0),MATCH("Interest Expense",'Prior Year Data Pull'!$A$1:$CB$1,0)),"")</f>
        <v>26742000</v>
      </c>
      <c r="AQ33" s="47">
        <f>IFERROR(INDEX('Prior Year Data Pull'!$A$2:$CB$593,MATCH(C33,'Prior Year Data Pull'!$A$2:$A$593,0),MATCH("Long Term Debt Net of Current Portion",'Prior Year Data Pull'!$A$1:$CB$1,0)),"")</f>
        <v>800123000</v>
      </c>
      <c r="AR33" s="47">
        <f>IFERROR(INDEX('Prior Year Data Pull'!$A$2:$CB$593,MATCH(C33,'Prior Year Data Pull'!$A$2:$A$593,0),MATCH("Total Assets",'Prior Year Data Pull'!$A$1:$CB$1,0)),"")</f>
        <v>875486000</v>
      </c>
      <c r="AS33" s="47">
        <f>IFERROR(INDEX('Prior Year Data Pull'!$A$2:$CB$593,MATCH(C33,'Prior Year Data Pull'!$A$2:$A$593,0),MATCH("Long Term Debt Net of Current Portion",'Prior Year Data Pull'!$A$1:$CB$1,0)),"")</f>
        <v>800123000</v>
      </c>
      <c r="AT33" s="47">
        <f>IFERROR(INDEX('Prior Year Data Pull'!$A$2:$CB$593,MATCH(C33,'Prior Year Data Pull'!$A$2:$A$593,0),MATCH("Net Unrestricted Assets",'Prior Year Data Pull'!$A$1:$CB$1,0)),"")</f>
        <v>-156949000</v>
      </c>
      <c r="AU33" s="47">
        <f>IFERROR(INDEX('Prior Year Data Pull'!$A$2:$CB$593,MATCH(C33,'Prior Year Data Pull'!$A$2:$A$593,0),MATCH("Unrealized Gains/Losses",'Prior Year Data Pull'!$A$1:$CB$1,0)),"")</f>
        <v>-365000</v>
      </c>
      <c r="AV33" s="47">
        <f>IFERROR(INDEX('Prior Year Data Pull'!$A$2:$CB$593,MATCH(C33,'Prior Year Data Pull'!$A$2:$A$593,0),MATCH("Salary and Benefit Expense",'Prior Year Data Pull'!$A$1:$CB$1,0)),"")</f>
        <v>585637000</v>
      </c>
    </row>
    <row r="34" spans="1:48" ht="34.200000000000003" x14ac:dyDescent="0.3">
      <c r="A34" s="14" t="str">
        <f>IFERROR(INDEX('Static Data Tab'!$N$2:$N$610,MATCH(D34,'Static Data Tab'!$D$2:$D$610,0)), "")</f>
        <v>Mass General Brigham</v>
      </c>
      <c r="B34" s="14" t="s">
        <v>149</v>
      </c>
      <c r="C34" s="14">
        <v>105</v>
      </c>
      <c r="D34" s="14">
        <v>3791</v>
      </c>
      <c r="E34" s="14" t="str">
        <f>IFERROR(INDEX('Prior Year Data Pull'!$A$1:$CB$593,MATCH(C34,'Prior Year Data Pull'!$A$1:$A$593,0),MATCH("Organization Type",'Prior Year Data Pull'!$A$1:$CB$1,0)),"")</f>
        <v>AcuteHospital</v>
      </c>
      <c r="F34" s="14" t="str">
        <f>IFERROR(INDEX('Static Data Tab'!$E$2:$E$610,MATCH(C34,'Static Data Tab'!$B$2:$B$610,0)), "-")</f>
        <v>Community Hospital</v>
      </c>
      <c r="G34" s="14" t="str">
        <f>IFERROR(INDEX('Static Data Tab'!$J$2:$J$610,MATCH(C34,'Static Data Tab'!$B$2:$B$610,0)), "")</f>
        <v>Metro Boston</v>
      </c>
      <c r="H34" s="14">
        <f>IFERROR(INDEX('Static Data Tab'!$F$2:$F$610,MATCH(C34,'Static Data Tab'!$B$2:$B$610,0)), "")</f>
        <v>0</v>
      </c>
      <c r="I34" s="14">
        <f>IFERROR(INDEX('Static Data Tab'!$G$2:$G$610,MATCH(C34,'Static Data Tab'!$B$2:$B$610,0)), "")</f>
        <v>0</v>
      </c>
      <c r="J34" s="14" t="str">
        <f>IFERROR(INDEX('Prior Year Data Pull'!$A$2:$CB$593,MATCH(C34,'Prior Year Data Pull'!$A$2:$A$593,0),MATCH("Quarter Range",'Prior Year Data Pull'!$A$1:$CB$1,0)),"")</f>
        <v xml:space="preserve">10/01/2024-09/30/2025
</v>
      </c>
      <c r="K34" s="37">
        <f t="shared" si="0"/>
        <v>7.6661690336999409E-3</v>
      </c>
      <c r="L34" s="37">
        <f t="shared" si="1"/>
        <v>1.2120766261753249E-2</v>
      </c>
      <c r="M34" s="37">
        <f t="shared" si="2"/>
        <v>1.9786935295453192E-2</v>
      </c>
      <c r="N34" s="38">
        <f t="shared" si="3"/>
        <v>15600000</v>
      </c>
      <c r="O34" s="39">
        <f t="shared" si="4"/>
        <v>1.4636643028831782</v>
      </c>
      <c r="P34" s="38">
        <f>IFERROR(INDEX('Prior Year Data Pull'!$A$2:$CB$593,MATCH('Prior Year Data Table'!$C34,'Prior Year Data Pull'!$A$2:$A$593,0),MATCH("Total Net Assets or Equity",'Prior Year Data Pull'!$A$1:$CB$1,0)),"")</f>
        <v>349180000</v>
      </c>
      <c r="Q34" s="38">
        <f>IFERROR(INDEX('Prior Year Data Pull'!$A$2:$CB$593,MATCH('Prior Year Data Table'!$C34,'Prior Year Data Pull'!$A$2:$A$593,0),MATCH("Total Operating Revenue",'Prior Year Data Pull'!$A$1:$CB$1,0)),"")</f>
        <v>778843000</v>
      </c>
      <c r="R34" s="38">
        <f>IFERROR(INDEX('Prior Year Data Pull'!$A$2:$CB$593,MATCH('Prior Year Data Table'!$C34,'Prior Year Data Pull'!$A$2:$A$593,0),MATCH("Total Unrestricted Revenue Gains and Other Support",'Prior Year Data Pull'!$A$1:$CB$1,0)),"")</f>
        <v>788399000</v>
      </c>
      <c r="S34" s="38">
        <f>IFERROR(INDEX('Prior Year TS Data Pull'!$K$2:$K$607,MATCH(C34,'Prior Year TS Data Pull'!$A$2:$A$607,0))+INDEX('Prior Year TS Data Pull'!$O$2:$O$119,MATCH(C34,'Prior Year TS Data Pull'!$A$2:$A$607,0))+INDEX('Prior Year TS Data Pull'!$S$2:$S$119,MATCH(C34,'Prior Year TS Data Pull'!$A$2:$A$607,0)),"")</f>
        <v>6625497.0462856535</v>
      </c>
      <c r="T34" s="38">
        <f>IF(INDEX('Prior Year TS Data Pull'!$A$1:$O$607,MATCH(C34,'Prior Year TS Data Pull'!$A$1:$A$607,0),MATCH("Temporary RN Staffing:
Line Reported on in Standardized Financials",'Prior Year TS Data Pull'!$A$1:$O$1,0))="66.1: Salary and Benefit Expense",'Prior Year Data Table'!$AV34-'Prior Year Data Table'!$S34,0)</f>
        <v>0</v>
      </c>
      <c r="U34" s="38">
        <f>IFERROR(INDEX('Prior Year Data Pull'!$A$2:$CB$593,MATCH(C34,'Prior Year Data Pull'!$A$2:$A$593,0),MATCH("Total Expenses Including Nonrecurring Gains Losses",'Prior Year Data Pull'!$A$1:$CB$1,0)),"")</f>
        <v>772799000</v>
      </c>
      <c r="V34" s="41">
        <f t="shared" si="5"/>
        <v>11.455183328936956</v>
      </c>
      <c r="W34" s="41">
        <f t="shared" si="6"/>
        <v>38.659987070003218</v>
      </c>
      <c r="X34" s="41">
        <f t="shared" si="7"/>
        <v>75.46956070916832</v>
      </c>
      <c r="Y34" s="37">
        <f t="shared" si="8"/>
        <v>0.17768392730183194</v>
      </c>
      <c r="Z34" s="41">
        <f t="shared" si="9"/>
        <v>43.599502782052795</v>
      </c>
      <c r="AA34" s="39">
        <f t="shared" si="10"/>
        <v>0.26447509931739865</v>
      </c>
      <c r="AB34" s="37">
        <f t="shared" si="11"/>
        <v>0.47330396475770925</v>
      </c>
      <c r="AC34" s="37">
        <f t="shared" si="12"/>
        <v>0.4448755327441512</v>
      </c>
      <c r="AD34" s="38">
        <f>IFERROR(INDEX('Prior Year Data Pull'!$A$2:$CB$593,MATCH(C34,'Prior Year Data Pull'!$A$2:$A$593,0),MATCH("Net Patient Service Revenue",'Prior Year Data Pull'!$A$1:$CB$1,0)),"")</f>
        <v>739366000</v>
      </c>
      <c r="AE34" s="38">
        <f>IFERROR(INDEX('Prior Year Data Pull'!$A$2:$CB$593,MATCH(C34,'Prior Year Data Pull'!$A$2:$A$593,0),MATCH("Total Current Assets",'Prior Year Data Pull'!$A$1:$CB$1,0)),"")</f>
        <v>244792000</v>
      </c>
      <c r="AF34" s="38">
        <f>IFERROR(INDEX('Prior Year Data Pull'!$A$2:$CB$593,MATCH(C34,'Prior Year Data Pull'!$A$2:$A$593,0),MATCH("Total Current Liabilities",'Prior Year Data Pull'!$A$1:$CB$1,0)),"")</f>
        <v>167246000</v>
      </c>
      <c r="AG34" s="38">
        <f>IFERROR(INDEX('Prior Year Data Pull'!$A$2:$CB$593,MATCH(C34,'Prior Year Data Pull'!$A$2:$A$593,0),MATCH("Total Non Operating Revenue",'Prior Year Data Pull'!$A$1:$CB$1,0)),"")</f>
        <v>9556000</v>
      </c>
      <c r="AH34" s="38">
        <f>IFERROR(INDEX('Prior Year Data Pull'!$A$2:$CB$593,MATCH(C34,'Prior Year Data Pull'!$A$2:$A$593,0),MATCH("Less Accumulated Depreciation",'Prior Year Data Pull'!$A$1:$CB$1,0)),"")</f>
        <v>434266000</v>
      </c>
      <c r="AI34" s="38">
        <f>IFERROR(INDEX('Prior Year Data Pull'!$A$2:$CB$593,MATCH(C34,'Prior Year Data Pull'!$A$2:$A$593,0),MATCH("Depreciation and Amortization Expense",'Prior Year Data Pull'!$A$1:$CB$1,0)),"")</f>
        <v>37910000</v>
      </c>
      <c r="AJ34" s="38">
        <f>IFERROR(INDEX('Prior Year Data Pull'!$A$2:$CB$593,MATCH(C34,'Prior Year Data Pull'!$A$2:$A$593,0),MATCH("Net Patient Accounts Receivable",'Prior Year Data Pull'!$A$1:$CB$1,0)),"")</f>
        <v>78312000</v>
      </c>
      <c r="AK34" s="14">
        <v>365</v>
      </c>
      <c r="AL34" s="38">
        <f>IFERROR(INDEX('Prior Year Data Pull'!$A$2:$CB$593,MATCH(C34,'Prior Year Data Pull'!$A$2:$A$593,0),MATCH("Estimated Third Party Settlements",'Prior Year Data Pull'!$A$1:$CB$1,0)),"")</f>
        <v>15296000</v>
      </c>
      <c r="AM34" s="38">
        <f>IFERROR(INDEX('Prior Year Data Pull'!$A$2:$CB$593,MATCH(C34,'Prior Year Data Pull'!$A$2:$A$593,0),MATCH("Current Liabilities due to Affiliates",'Prior Year Data Pull'!$A$1:$CB$1,0)),"")</f>
        <v>59108000</v>
      </c>
      <c r="AN34" s="38">
        <f>IFERROR(INDEX('Prior Year Data Pull'!$A$2:$CB$593,MATCH(C34,'Prior Year Data Pull'!$A$2:$A$593,0),MATCH("Short Term Investments",'Prior Year Data Pull'!$A$1:$CB$1,0)),"")</f>
        <v>118296000</v>
      </c>
      <c r="AO34" s="38">
        <f>IFERROR(INDEX('Prior Year Data Pull'!$A$2:$CB$593,MATCH(C34,'Prior Year Data Pull'!$A$2:$A$593,0),MATCH("Cash and Cash Equivalents",'Prior Year Data Pull'!$A$1:$CB$1,0)),"")</f>
        <v>-30513000</v>
      </c>
      <c r="AP34" s="38">
        <f>IFERROR(INDEX('Prior Year Data Pull'!$A$2:$CB$593,MATCH(C34,'Prior Year Data Pull'!$A$2:$A$593,0),MATCH("Interest Expense",'Prior Year Data Pull'!$A$1:$CB$1,0)),"")</f>
        <v>6463000</v>
      </c>
      <c r="AQ34" s="38">
        <f>IFERROR(INDEX('Prior Year Data Pull'!$A$2:$CB$593,MATCH(C34,'Prior Year Data Pull'!$A$2:$A$593,0),MATCH("Long Term Debt Net of Current Portion",'Prior Year Data Pull'!$A$1:$CB$1,0)),"")</f>
        <v>175781000</v>
      </c>
      <c r="AR34" s="38">
        <f>IFERROR(INDEX('Prior Year Data Pull'!$A$2:$CB$593,MATCH(C34,'Prior Year Data Pull'!$A$2:$A$593,0),MATCH("Total Assets",'Prior Year Data Pull'!$A$1:$CB$1,0)),"")</f>
        <v>737750000</v>
      </c>
      <c r="AS34" s="38">
        <f>IFERROR(INDEX('Prior Year Data Pull'!$A$2:$CB$593,MATCH(C34,'Prior Year Data Pull'!$A$2:$A$593,0),MATCH("Long Term Debt Net of Current Portion",'Prior Year Data Pull'!$A$1:$CB$1,0)),"")</f>
        <v>175781000</v>
      </c>
      <c r="AT34" s="38">
        <f>IFERROR(INDEX('Prior Year Data Pull'!$A$2:$CB$593,MATCH(C34,'Prior Year Data Pull'!$A$2:$A$593,0),MATCH("Net Unrestricted Assets",'Prior Year Data Pull'!$A$1:$CB$1,0)),"")</f>
        <v>219343000</v>
      </c>
      <c r="AU34" s="38">
        <f>IFERROR(INDEX('Prior Year Data Pull'!$A$2:$CB$593,MATCH(C34,'Prior Year Data Pull'!$A$2:$A$593,0),MATCH("Unrealized Gains/Losses",'Prior Year Data Pull'!$A$1:$CB$1,0)),"")</f>
        <v>11774000</v>
      </c>
      <c r="AV34" s="38">
        <f>IFERROR(INDEX('Prior Year Data Pull'!$A$2:$CB$593,MATCH(C34,'Prior Year Data Pull'!$A$2:$A$593,0),MATCH("Salary and Benefit Expense",'Prior Year Data Pull'!$A$1:$CB$1,0)),"")</f>
        <v>403676000</v>
      </c>
    </row>
    <row r="35" spans="1:48" ht="34.200000000000003" x14ac:dyDescent="0.3">
      <c r="A35" s="46" t="str">
        <f>IFERROR(INDEX('Static Data Tab'!$N$2:$N$610,MATCH(D35,'Static Data Tab'!$D$2:$D$610,0)), "")</f>
        <v xml:space="preserve">Baystate Health </v>
      </c>
      <c r="B35" s="46" t="s">
        <v>80</v>
      </c>
      <c r="C35" s="46">
        <v>106</v>
      </c>
      <c r="D35" s="46">
        <v>4066</v>
      </c>
      <c r="E35" s="46" t="str">
        <f>IFERROR(INDEX('Prior Year Data Pull'!$A$1:$CB$593,MATCH(C35,'Prior Year Data Pull'!$A$1:$A$593,0),MATCH("Organization Type",'Prior Year Data Pull'!$A$1:$CB$1,0)),"")</f>
        <v>AcuteHospital</v>
      </c>
      <c r="F35" s="46" t="str">
        <f>IFERROR(INDEX('Static Data Tab'!$E$2:$E$610,MATCH(C35,'Static Data Tab'!$B$2:$B$610,0)), "-")</f>
        <v>Community-High Public Payer Hospital</v>
      </c>
      <c r="G35" s="46" t="str">
        <f>IFERROR(INDEX('Static Data Tab'!$J$2:$J$610,MATCH(C35,'Static Data Tab'!$B$2:$B$610,0)), "")</f>
        <v>Western Massachusetts</v>
      </c>
      <c r="H35" s="46" t="str">
        <f>IFERROR(INDEX('Static Data Tab'!$F$2:$F$610,MATCH(C35,'Static Data Tab'!$B$2:$B$610,0)), "")</f>
        <v>x</v>
      </c>
      <c r="I35" s="46">
        <f>IFERROR(INDEX('Static Data Tab'!$G$2:$G$610,MATCH(C35,'Static Data Tab'!$B$2:$B$610,0)), "")</f>
        <v>0</v>
      </c>
      <c r="J35" s="46" t="str">
        <f>IFERROR(INDEX('Prior Year Data Pull'!$A$2:$CB$593,MATCH(C35,'Prior Year Data Pull'!$A$2:$A$593,0),MATCH("Quarter Range",'Prior Year Data Pull'!$A$1:$CB$1,0)),"")</f>
        <v xml:space="preserve">10/01/2024-09/30/2025
</v>
      </c>
      <c r="K35" s="45">
        <f t="shared" si="0"/>
        <v>4.6742348917758379E-2</v>
      </c>
      <c r="L35" s="45">
        <f t="shared" si="1"/>
        <v>4.8075347180490151E-4</v>
      </c>
      <c r="M35" s="45">
        <f t="shared" si="2"/>
        <v>4.722310238956328E-2</v>
      </c>
      <c r="N35" s="47">
        <f t="shared" si="3"/>
        <v>4322000</v>
      </c>
      <c r="O35" s="265">
        <f t="shared" si="4"/>
        <v>1.2599698210821297</v>
      </c>
      <c r="P35" s="47">
        <f>IFERROR(INDEX('Prior Year Data Pull'!$A$2:$CB$593,MATCH('Prior Year Data Table'!$C35,'Prior Year Data Pull'!$A$2:$A$593,0),MATCH("Total Net Assets or Equity",'Prior Year Data Pull'!$A$1:$CB$1,0)),"")</f>
        <v>30444000</v>
      </c>
      <c r="Q35" s="47">
        <f>IFERROR(INDEX('Prior Year Data Pull'!$A$2:$CB$593,MATCH('Prior Year Data Table'!$C35,'Prior Year Data Pull'!$A$2:$A$593,0),MATCH("Total Operating Revenue",'Prior Year Data Pull'!$A$1:$CB$1,0)),"")</f>
        <v>91479000</v>
      </c>
      <c r="R35" s="47">
        <f>IFERROR(INDEX('Prior Year Data Pull'!$A$2:$CB$593,MATCH('Prior Year Data Table'!$C35,'Prior Year Data Pull'!$A$2:$A$593,0),MATCH("Total Unrestricted Revenue Gains and Other Support",'Prior Year Data Pull'!$A$1:$CB$1,0)),"")</f>
        <v>91523000</v>
      </c>
      <c r="S35" s="47">
        <f>IFERROR(INDEX('Prior Year TS Data Pull'!$K$2:$K$607,MATCH(C35,'Prior Year TS Data Pull'!$A$2:$A$607,0))+INDEX('Prior Year TS Data Pull'!$O$2:$O$119,MATCH(C35,'Prior Year TS Data Pull'!$A$2:$A$607,0))+INDEX('Prior Year TS Data Pull'!$S$2:$S$119,MATCH(C35,'Prior Year TS Data Pull'!$A$2:$A$607,0)),"")</f>
        <v>56326.43</v>
      </c>
      <c r="T35" s="47">
        <f>IF(INDEX('Prior Year TS Data Pull'!$A$1:$O$607,MATCH(C35,'Prior Year TS Data Pull'!$A$1:$A$607,0),MATCH("Temporary RN Staffing:
Line Reported on in Standardized Financials",'Prior Year TS Data Pull'!$A$1:$O$1,0))="66.1: Salary and Benefit Expense",'Prior Year Data Table'!$AV35-'Prior Year Data Table'!$S35,0)</f>
        <v>0</v>
      </c>
      <c r="U35" s="47">
        <f>IFERROR(INDEX('Prior Year Data Pull'!$A$2:$CB$593,MATCH(C35,'Prior Year Data Pull'!$A$2:$A$593,0),MATCH("Total Expenses Including Nonrecurring Gains Losses",'Prior Year Data Pull'!$A$1:$CB$1,0)),"")</f>
        <v>87201000</v>
      </c>
      <c r="V35" s="266">
        <f t="shared" si="5"/>
        <v>19.780851575655522</v>
      </c>
      <c r="W35" s="266">
        <f t="shared" si="6"/>
        <v>44.744733803432695</v>
      </c>
      <c r="X35" s="266">
        <f t="shared" si="7"/>
        <v>46.321648764510378</v>
      </c>
      <c r="Y35" s="45">
        <f t="shared" si="8"/>
        <v>3.4822607260726071</v>
      </c>
      <c r="Z35" s="266">
        <f t="shared" si="9"/>
        <v>11.480420018303549</v>
      </c>
      <c r="AA35" s="265">
        <f t="shared" si="10"/>
        <v>184.5</v>
      </c>
      <c r="AB35" s="45">
        <f t="shared" si="11"/>
        <v>0.64036010264608134</v>
      </c>
      <c r="AC35" s="45">
        <f t="shared" si="12"/>
        <v>0</v>
      </c>
      <c r="AD35" s="47">
        <f>IFERROR(INDEX('Prior Year Data Pull'!$A$2:$CB$593,MATCH(C35,'Prior Year Data Pull'!$A$2:$A$593,0),MATCH("Net Patient Service Revenue",'Prior Year Data Pull'!$A$1:$CB$1,0)),"")</f>
        <v>89201000</v>
      </c>
      <c r="AE35" s="47">
        <f>IFERROR(INDEX('Prior Year Data Pull'!$A$2:$CB$593,MATCH(C35,'Prior Year Data Pull'!$A$2:$A$593,0),MATCH("Total Current Assets",'Prior Year Data Pull'!$A$1:$CB$1,0)),"")</f>
        <v>17535000</v>
      </c>
      <c r="AF35" s="47">
        <f>IFERROR(INDEX('Prior Year Data Pull'!$A$2:$CB$593,MATCH(C35,'Prior Year Data Pull'!$A$2:$A$593,0),MATCH("Total Current Liabilities",'Prior Year Data Pull'!$A$1:$CB$1,0)),"")</f>
        <v>13917000</v>
      </c>
      <c r="AG35" s="47">
        <f>IFERROR(INDEX('Prior Year Data Pull'!$A$2:$CB$593,MATCH(C35,'Prior Year Data Pull'!$A$2:$A$593,0),MATCH("Total Non Operating Revenue",'Prior Year Data Pull'!$A$1:$CB$1,0)),"")</f>
        <v>44000</v>
      </c>
      <c r="AH35" s="47">
        <f>IFERROR(INDEX('Prior Year Data Pull'!$A$2:$CB$593,MATCH(C35,'Prior Year Data Pull'!$A$2:$A$593,0),MATCH("Less Accumulated Depreciation",'Prior Year Data Pull'!$A$1:$CB$1,0)),"")</f>
        <v>82229000</v>
      </c>
      <c r="AI35" s="47">
        <f>IFERROR(INDEX('Prior Year Data Pull'!$A$2:$CB$593,MATCH(C35,'Prior Year Data Pull'!$A$2:$A$593,0),MATCH("Depreciation and Amortization Expense",'Prior Year Data Pull'!$A$1:$CB$1,0)),"")</f>
        <v>4157000</v>
      </c>
      <c r="AJ35" s="47">
        <f>IFERROR(INDEX('Prior Year Data Pull'!$A$2:$CB$593,MATCH(C35,'Prior Year Data Pull'!$A$2:$A$593,0),MATCH("Net Patient Accounts Receivable",'Prior Year Data Pull'!$A$1:$CB$1,0)),"")</f>
        <v>10935000</v>
      </c>
      <c r="AK35" s="46">
        <v>365</v>
      </c>
      <c r="AL35" s="47">
        <f>IFERROR(INDEX('Prior Year Data Pull'!$A$2:$CB$593,MATCH(C35,'Prior Year Data Pull'!$A$2:$A$593,0),MATCH("Estimated Third Party Settlements",'Prior Year Data Pull'!$A$1:$CB$1,0)),"")</f>
        <v>3378000</v>
      </c>
      <c r="AM35" s="47">
        <f>IFERROR(INDEX('Prior Year Data Pull'!$A$2:$CB$593,MATCH(C35,'Prior Year Data Pull'!$A$2:$A$593,0),MATCH("Current Liabilities due to Affiliates",'Prior Year Data Pull'!$A$1:$CB$1,0)),"")</f>
        <v>2424000</v>
      </c>
      <c r="AN35" s="47">
        <f>IFERROR(INDEX('Prior Year Data Pull'!$A$2:$CB$593,MATCH(C35,'Prior Year Data Pull'!$A$2:$A$593,0),MATCH("Short Term Investments",'Prior Year Data Pull'!$A$1:$CB$1,0)),"")</f>
        <v>10000</v>
      </c>
      <c r="AO35" s="47">
        <f>IFERROR(INDEX('Prior Year Data Pull'!$A$2:$CB$593,MATCH(C35,'Prior Year Data Pull'!$A$2:$A$593,0),MATCH("Cash and Cash Equivalents",'Prior Year Data Pull'!$A$1:$CB$1,0)),"")</f>
        <v>2602000</v>
      </c>
      <c r="AP35" s="47">
        <f>IFERROR(INDEX('Prior Year Data Pull'!$A$2:$CB$593,MATCH(C35,'Prior Year Data Pull'!$A$2:$A$593,0),MATCH("Interest Expense",'Prior Year Data Pull'!$A$1:$CB$1,0)),"")</f>
        <v>46000</v>
      </c>
      <c r="AQ35" s="47">
        <f>IFERROR(INDEX('Prior Year Data Pull'!$A$2:$CB$593,MATCH(C35,'Prior Year Data Pull'!$A$2:$A$593,0),MATCH("Long Term Debt Net of Current Portion",'Prior Year Data Pull'!$A$1:$CB$1,0)),"")</f>
        <v>0</v>
      </c>
      <c r="AR35" s="47">
        <f>IFERROR(INDEX('Prior Year Data Pull'!$A$2:$CB$593,MATCH(C35,'Prior Year Data Pull'!$A$2:$A$593,0),MATCH("Total Assets",'Prior Year Data Pull'!$A$1:$CB$1,0)),"")</f>
        <v>47542000</v>
      </c>
      <c r="AS35" s="47">
        <f>IFERROR(INDEX('Prior Year Data Pull'!$A$2:$CB$593,MATCH(C35,'Prior Year Data Pull'!$A$2:$A$593,0),MATCH("Long Term Debt Net of Current Portion",'Prior Year Data Pull'!$A$1:$CB$1,0)),"")</f>
        <v>0</v>
      </c>
      <c r="AT35" s="47">
        <f>IFERROR(INDEX('Prior Year Data Pull'!$A$2:$CB$593,MATCH(C35,'Prior Year Data Pull'!$A$2:$A$593,0),MATCH("Net Unrestricted Assets",'Prior Year Data Pull'!$A$1:$CB$1,0)),"")</f>
        <v>27774000</v>
      </c>
      <c r="AU35" s="47">
        <f>IFERROR(INDEX('Prior Year Data Pull'!$A$2:$CB$593,MATCH(C35,'Prior Year Data Pull'!$A$2:$A$593,0),MATCH("Unrealized Gains/Losses",'Prior Year Data Pull'!$A$1:$CB$1,0)),"")</f>
        <v>38000</v>
      </c>
      <c r="AV35" s="47">
        <f>IFERROR(INDEX('Prior Year Data Pull'!$A$2:$CB$593,MATCH(C35,'Prior Year Data Pull'!$A$2:$A$593,0),MATCH("Salary and Benefit Expense",'Prior Year Data Pull'!$A$1:$CB$1,0)),"")</f>
        <v>38097000</v>
      </c>
    </row>
    <row r="36" spans="1:48" ht="34.200000000000003" x14ac:dyDescent="0.3">
      <c r="A36" s="14" t="str">
        <f>IFERROR(INDEX('Static Data Tab'!$N$2:$N$610,MATCH(D36,'Static Data Tab'!$D$2:$D$610,0)), "")</f>
        <v>Brown University Health</v>
      </c>
      <c r="B36" s="14" t="s">
        <v>534</v>
      </c>
      <c r="C36" s="14">
        <v>114</v>
      </c>
      <c r="D36" s="14">
        <v>22350</v>
      </c>
      <c r="E36" s="14" t="str">
        <f>IFERROR(INDEX('Prior Year Data Pull'!$A$1:$CB$593,MATCH(C36,'Prior Year Data Pull'!$A$1:$A$593,0),MATCH("Organization Type",'Prior Year Data Pull'!$A$1:$CB$1,0)),"")</f>
        <v>AcuteHospital</v>
      </c>
      <c r="F36" s="14" t="str">
        <f>IFERROR(INDEX('Static Data Tab'!$E$2:$E$610,MATCH(C36,'Static Data Tab'!$B$2:$B$610,0)), "-")</f>
        <v>Community-High Public Payer Hospital</v>
      </c>
      <c r="G36" s="14" t="str">
        <f>IFERROR(INDEX('Static Data Tab'!$J$2:$J$610,MATCH(C36,'Static Data Tab'!$B$2:$B$610,0)), "")</f>
        <v>South Coast</v>
      </c>
      <c r="H36" s="14" t="str">
        <f>IFERROR(INDEX('Static Data Tab'!$F$2:$F$610,MATCH(C36,'Static Data Tab'!$B$2:$B$610,0)), "")</f>
        <v>x</v>
      </c>
      <c r="I36" s="14">
        <f>IFERROR(INDEX('Static Data Tab'!$G$2:$G$610,MATCH(C36,'Static Data Tab'!$B$2:$B$610,0)), "")</f>
        <v>0</v>
      </c>
      <c r="J36" s="14" t="str">
        <f>IFERROR(INDEX('Prior Year Data Pull'!$A$2:$CB$593,MATCH(C36,'Prior Year Data Pull'!$A$2:$A$593,0),MATCH("Quarter Range",'Prior Year Data Pull'!$A$1:$CB$1,0)),"")</f>
        <v xml:space="preserve">10/01/2024-09/30/2025
</v>
      </c>
      <c r="K36" s="37">
        <f t="shared" si="0"/>
        <v>-5.4143404342890528E-2</v>
      </c>
      <c r="L36" s="37">
        <f t="shared" si="1"/>
        <v>2.4628743270245688E-2</v>
      </c>
      <c r="M36" s="37">
        <f t="shared" si="2"/>
        <v>-2.9514661072644836E-2</v>
      </c>
      <c r="N36" s="38">
        <f t="shared" si="3"/>
        <v>-8892000</v>
      </c>
      <c r="O36" s="39">
        <f t="shared" si="4"/>
        <v>1.1938873842665492</v>
      </c>
      <c r="P36" s="38">
        <f>IFERROR(INDEX('Prior Year Data Pull'!$A$2:$CB$593,MATCH('Prior Year Data Table'!$C36,'Prior Year Data Pull'!$A$2:$A$593,0),MATCH("Total Net Assets or Equity",'Prior Year Data Pull'!$A$1:$CB$1,0)),"")</f>
        <v>-54265000</v>
      </c>
      <c r="Q36" s="38">
        <f>IFERROR(INDEX('Prior Year Data Pull'!$A$2:$CB$593,MATCH('Prior Year Data Table'!$C36,'Prior Year Data Pull'!$A$2:$A$593,0),MATCH("Total Operating Revenue",'Prior Year Data Pull'!$A$1:$CB$1,0)),"")</f>
        <v>293854000</v>
      </c>
      <c r="R36" s="38">
        <f>IFERROR(INDEX('Prior Year Data Pull'!$A$2:$CB$593,MATCH('Prior Year Data Table'!$C36,'Prior Year Data Pull'!$A$2:$A$593,0),MATCH("Total Unrestricted Revenue Gains and Other Support",'Prior Year Data Pull'!$A$1:$CB$1,0)),"")</f>
        <v>301274000</v>
      </c>
      <c r="S36" s="38">
        <f>IFERROR(INDEX('Prior Year TS Data Pull'!$K$2:$K$607,MATCH(C36,'Prior Year TS Data Pull'!$A$2:$A$607,0))+INDEX('Prior Year TS Data Pull'!$O$2:$O$119,MATCH(C36,'Prior Year TS Data Pull'!$A$2:$A$607,0))+INDEX('Prior Year TS Data Pull'!$S$2:$S$119,MATCH(C36,'Prior Year TS Data Pull'!$A$2:$A$607,0)),"")</f>
        <v>1228000</v>
      </c>
      <c r="T36" s="38">
        <f>IF(INDEX('Prior Year TS Data Pull'!$A$1:$O$607,MATCH(C36,'Prior Year TS Data Pull'!$A$1:$A$607,0),MATCH("Temporary RN Staffing:
Line Reported on in Standardized Financials",'Prior Year TS Data Pull'!$A$1:$O$1,0))="66.1: Salary and Benefit Expense",'Prior Year Data Table'!$AV36-'Prior Year Data Table'!$S36,0)</f>
        <v>0</v>
      </c>
      <c r="U36" s="38">
        <f>IFERROR(INDEX('Prior Year Data Pull'!$A$2:$CB$593,MATCH(C36,'Prior Year Data Pull'!$A$2:$A$593,0),MATCH("Total Expenses Including Nonrecurring Gains Losses",'Prior Year Data Pull'!$A$1:$CB$1,0)),"")</f>
        <v>310166000</v>
      </c>
      <c r="V36" s="41">
        <f t="shared" si="5"/>
        <v>0.9603102189781022</v>
      </c>
      <c r="W36" s="41">
        <f t="shared" si="6"/>
        <v>54.838255375801275</v>
      </c>
      <c r="X36" s="41">
        <f t="shared" si="7"/>
        <v>379.53796238347775</v>
      </c>
      <c r="Y36" s="37">
        <f t="shared" si="8"/>
        <v>-1.0136865187571398E-2</v>
      </c>
      <c r="Z36" s="41">
        <f t="shared" si="9"/>
        <v>0.40516815441878851</v>
      </c>
      <c r="AA36" s="39">
        <f t="shared" si="10"/>
        <v>4.4518137632378635E-2</v>
      </c>
      <c r="AB36" s="37">
        <f t="shared" si="11"/>
        <v>-0.10890069797591</v>
      </c>
      <c r="AC36" s="37">
        <f t="shared" si="12"/>
        <v>1.311495453710507</v>
      </c>
      <c r="AD36" s="38">
        <f>IFERROR(INDEX('Prior Year Data Pull'!$A$2:$CB$593,MATCH(C36,'Prior Year Data Pull'!$A$2:$A$593,0),MATCH("Net Patient Service Revenue",'Prior Year Data Pull'!$A$1:$CB$1,0)),"")</f>
        <v>292189000</v>
      </c>
      <c r="AE36" s="38">
        <f>IFERROR(INDEX('Prior Year Data Pull'!$A$2:$CB$593,MATCH(C36,'Prior Year Data Pull'!$A$2:$A$593,0),MATCH("Total Current Assets",'Prior Year Data Pull'!$A$1:$CB$1,0)),"")</f>
        <v>379107000</v>
      </c>
      <c r="AF36" s="38">
        <f>IFERROR(INDEX('Prior Year Data Pull'!$A$2:$CB$593,MATCH(C36,'Prior Year Data Pull'!$A$2:$A$593,0),MATCH("Total Current Liabilities",'Prior Year Data Pull'!$A$1:$CB$1,0)),"")</f>
        <v>317540000</v>
      </c>
      <c r="AG36" s="38">
        <f>IFERROR(INDEX('Prior Year Data Pull'!$A$2:$CB$593,MATCH(C36,'Prior Year Data Pull'!$A$2:$A$593,0),MATCH("Total Non Operating Revenue",'Prior Year Data Pull'!$A$1:$CB$1,0)),"")</f>
        <v>7420000</v>
      </c>
      <c r="AH36" s="38">
        <f>IFERROR(INDEX('Prior Year Data Pull'!$A$2:$CB$593,MATCH(C36,'Prior Year Data Pull'!$A$2:$A$593,0),MATCH("Less Accumulated Depreciation",'Prior Year Data Pull'!$A$1:$CB$1,0)),"")</f>
        <v>6315000</v>
      </c>
      <c r="AI36" s="38">
        <f>IFERROR(INDEX('Prior Year Data Pull'!$A$2:$CB$593,MATCH(C36,'Prior Year Data Pull'!$A$2:$A$593,0),MATCH("Depreciation and Amortization Expense",'Prior Year Data Pull'!$A$1:$CB$1,0)),"")</f>
        <v>6576000</v>
      </c>
      <c r="AJ36" s="38">
        <f>IFERROR(INDEX('Prior Year Data Pull'!$A$2:$CB$593,MATCH(C36,'Prior Year Data Pull'!$A$2:$A$593,0),MATCH("Net Patient Accounts Receivable",'Prior Year Data Pull'!$A$1:$CB$1,0)),"")</f>
        <v>43899000</v>
      </c>
      <c r="AK36" s="14">
        <v>365</v>
      </c>
      <c r="AL36" s="38">
        <f>IFERROR(INDEX('Prior Year Data Pull'!$A$2:$CB$593,MATCH(C36,'Prior Year Data Pull'!$A$2:$A$593,0),MATCH("Estimated Third Party Settlements",'Prior Year Data Pull'!$A$1:$CB$1,0)),"")</f>
        <v>1858000</v>
      </c>
      <c r="AM36" s="38">
        <f>IFERROR(INDEX('Prior Year Data Pull'!$A$2:$CB$593,MATCH(C36,'Prior Year Data Pull'!$A$2:$A$593,0),MATCH("Current Liabilities due to Affiliates",'Prior Year Data Pull'!$A$1:$CB$1,0)),"")</f>
        <v>0</v>
      </c>
      <c r="AN36" s="38">
        <f>IFERROR(INDEX('Prior Year Data Pull'!$A$2:$CB$593,MATCH(C36,'Prior Year Data Pull'!$A$2:$A$593,0),MATCH("Short Term Investments",'Prior Year Data Pull'!$A$1:$CB$1,0)),"")</f>
        <v>0</v>
      </c>
      <c r="AO36" s="38">
        <f>IFERROR(INDEX('Prior Year Data Pull'!$A$2:$CB$593,MATCH(C36,'Prior Year Data Pull'!$A$2:$A$593,0),MATCH("Cash and Cash Equivalents",'Prior Year Data Pull'!$A$1:$CB$1,0)),"")</f>
        <v>337000</v>
      </c>
      <c r="AP36" s="38">
        <f>IFERROR(INDEX('Prior Year Data Pull'!$A$2:$CB$593,MATCH(C36,'Prior Year Data Pull'!$A$2:$A$593,0),MATCH("Interest Expense",'Prior Year Data Pull'!$A$1:$CB$1,0)),"")</f>
        <v>13069000</v>
      </c>
      <c r="AQ36" s="38">
        <f>IFERROR(INDEX('Prior Year Data Pull'!$A$2:$CB$593,MATCH(C36,'Prior Year Data Pull'!$A$2:$A$593,0),MATCH("Long Term Debt Net of Current Portion",'Prior Year Data Pull'!$A$1:$CB$1,0)),"")</f>
        <v>228473000</v>
      </c>
      <c r="AR36" s="38">
        <f>IFERROR(INDEX('Prior Year Data Pull'!$A$2:$CB$593,MATCH(C36,'Prior Year Data Pull'!$A$2:$A$593,0),MATCH("Total Assets",'Prior Year Data Pull'!$A$1:$CB$1,0)),"")</f>
        <v>498298000</v>
      </c>
      <c r="AS36" s="38">
        <f>IFERROR(INDEX('Prior Year Data Pull'!$A$2:$CB$593,MATCH(C36,'Prior Year Data Pull'!$A$2:$A$593,0),MATCH("Long Term Debt Net of Current Portion",'Prior Year Data Pull'!$A$1:$CB$1,0)),"")</f>
        <v>228473000</v>
      </c>
      <c r="AT36" s="38">
        <f>IFERROR(INDEX('Prior Year Data Pull'!$A$2:$CB$593,MATCH(C36,'Prior Year Data Pull'!$A$2:$A$593,0),MATCH("Net Unrestricted Assets",'Prior Year Data Pull'!$A$1:$CB$1,0)),"")</f>
        <v>-54265000</v>
      </c>
      <c r="AU36" s="38">
        <f>IFERROR(INDEX('Prior Year Data Pull'!$A$2:$CB$593,MATCH(C36,'Prior Year Data Pull'!$A$2:$A$593,0),MATCH("Unrealized Gains/Losses",'Prior Year Data Pull'!$A$1:$CB$1,0)),"")</f>
        <v>0</v>
      </c>
      <c r="AV36" s="38">
        <f>IFERROR(INDEX('Prior Year Data Pull'!$A$2:$CB$593,MATCH(C36,'Prior Year Data Pull'!$A$2:$A$593,0),MATCH("Salary and Benefit Expense",'Prior Year Data Pull'!$A$1:$CB$1,0)),"")</f>
        <v>138841000</v>
      </c>
    </row>
    <row r="37" spans="1:48" ht="34.200000000000003" x14ac:dyDescent="0.3">
      <c r="A37" s="46" t="str">
        <f>IFERROR(INDEX('Static Data Tab'!$N$2:$N$610,MATCH(D37,'Static Data Tab'!$D$2:$D$610,0)), "")</f>
        <v>South Shore Health System</v>
      </c>
      <c r="B37" s="46" t="s">
        <v>168</v>
      </c>
      <c r="C37" s="46">
        <v>122</v>
      </c>
      <c r="D37" s="46">
        <v>12759</v>
      </c>
      <c r="E37" s="46" t="str">
        <f>IFERROR(INDEX('Prior Year Data Pull'!$A$1:$CB$593,MATCH(C37,'Prior Year Data Pull'!$A$1:$A$593,0),MATCH("Organization Type",'Prior Year Data Pull'!$A$1:$CB$1,0)),"")</f>
        <v>AcuteHospital</v>
      </c>
      <c r="F37" s="46" t="str">
        <f>IFERROR(INDEX('Static Data Tab'!$E$2:$E$610,MATCH(C37,'Static Data Tab'!$B$2:$B$610,0)), "-")</f>
        <v>Community-High Public Payer Hospital</v>
      </c>
      <c r="G37" s="46" t="str">
        <f>IFERROR(INDEX('Static Data Tab'!$J$2:$J$610,MATCH(C37,'Static Data Tab'!$B$2:$B$610,0)), "")</f>
        <v>Metro South</v>
      </c>
      <c r="H37" s="46" t="str">
        <f>IFERROR(INDEX('Static Data Tab'!$F$2:$F$610,MATCH(C37,'Static Data Tab'!$B$2:$B$610,0)), "")</f>
        <v>x</v>
      </c>
      <c r="I37" s="46">
        <f>IFERROR(INDEX('Static Data Tab'!$G$2:$G$610,MATCH(C37,'Static Data Tab'!$B$2:$B$610,0)), "")</f>
        <v>0</v>
      </c>
      <c r="J37" s="46" t="str">
        <f>IFERROR(INDEX('Prior Year Data Pull'!$A$2:$CB$593,MATCH(C37,'Prior Year Data Pull'!$A$2:$A$593,0),MATCH("Quarter Range",'Prior Year Data Pull'!$A$1:$CB$1,0)),"")</f>
        <v xml:space="preserve">10/01/2024-09/30/2025
</v>
      </c>
      <c r="K37" s="45">
        <f t="shared" si="0"/>
        <v>-2.3731256303426661E-2</v>
      </c>
      <c r="L37" s="45">
        <f t="shared" si="1"/>
        <v>1.5879296541596328E-2</v>
      </c>
      <c r="M37" s="45">
        <f t="shared" si="2"/>
        <v>-7.8519597618303318E-3</v>
      </c>
      <c r="N37" s="47">
        <f t="shared" si="3"/>
        <v>-7119670</v>
      </c>
      <c r="O37" s="265">
        <f t="shared" si="4"/>
        <v>1.3252857520279226</v>
      </c>
      <c r="P37" s="47">
        <f>IFERROR(INDEX('Prior Year Data Pull'!$A$2:$CB$593,MATCH('Prior Year Data Table'!$C37,'Prior Year Data Pull'!$A$2:$A$593,0),MATCH("Total Net Assets or Equity",'Prior Year Data Pull'!$A$1:$CB$1,0)),"")</f>
        <v>371160127</v>
      </c>
      <c r="Q37" s="47">
        <f>IFERROR(INDEX('Prior Year Data Pull'!$A$2:$CB$593,MATCH('Prior Year Data Table'!$C37,'Prior Year Data Pull'!$A$2:$A$593,0),MATCH("Total Operating Revenue",'Prior Year Data Pull'!$A$1:$CB$1,0)),"")</f>
        <v>892339602</v>
      </c>
      <c r="R37" s="47">
        <f>IFERROR(INDEX('Prior Year Data Pull'!$A$2:$CB$593,MATCH('Prior Year Data Table'!$C37,'Prior Year Data Pull'!$A$2:$A$593,0),MATCH("Total Unrestricted Revenue Gains and Other Support",'Prior Year Data Pull'!$A$1:$CB$1,0)),"")</f>
        <v>906737963</v>
      </c>
      <c r="S37" s="47">
        <f>IFERROR(INDEX('Prior Year TS Data Pull'!$K$2:$K$607,MATCH(C37,'Prior Year TS Data Pull'!$A$2:$A$607,0))+INDEX('Prior Year TS Data Pull'!$O$2:$O$119,MATCH(C37,'Prior Year TS Data Pull'!$A$2:$A$607,0))+INDEX('Prior Year TS Data Pull'!$S$2:$S$119,MATCH(C37,'Prior Year TS Data Pull'!$A$2:$A$607,0)),"")</f>
        <v>5447732.0600000005</v>
      </c>
      <c r="T37" s="47">
        <f>IF(INDEX('Prior Year TS Data Pull'!$A$1:$O$607,MATCH(C37,'Prior Year TS Data Pull'!$A$1:$A$607,0),MATCH("Temporary RN Staffing:
Line Reported on in Standardized Financials",'Prior Year TS Data Pull'!$A$1:$O$1,0))="66.1: Salary and Benefit Expense",'Prior Year Data Table'!$AV37-'Prior Year Data Table'!$S37,0)</f>
        <v>0</v>
      </c>
      <c r="U37" s="47">
        <f>IFERROR(INDEX('Prior Year Data Pull'!$A$2:$CB$593,MATCH(C37,'Prior Year Data Pull'!$A$2:$A$593,0),MATCH("Total Expenses Including Nonrecurring Gains Losses",'Prior Year Data Pull'!$A$1:$CB$1,0)),"")</f>
        <v>913857633</v>
      </c>
      <c r="V37" s="266">
        <f t="shared" si="5"/>
        <v>14.540501222040739</v>
      </c>
      <c r="W37" s="266">
        <f t="shared" si="6"/>
        <v>47.656235838391389</v>
      </c>
      <c r="X37" s="266">
        <f t="shared" si="7"/>
        <v>53.346334040280759</v>
      </c>
      <c r="Y37" s="45">
        <f t="shared" si="8"/>
        <v>0.24974847284561613</v>
      </c>
      <c r="Z37" s="266">
        <f t="shared" si="9"/>
        <v>8.6951499950585784</v>
      </c>
      <c r="AA37" s="265">
        <f t="shared" si="10"/>
        <v>0.28421210950023496</v>
      </c>
      <c r="AB37" s="45">
        <f t="shared" si="11"/>
        <v>0.54241223754074464</v>
      </c>
      <c r="AC37" s="45">
        <f t="shared" si="12"/>
        <v>0.28738388522883401</v>
      </c>
      <c r="AD37" s="47">
        <f>IFERROR(INDEX('Prior Year Data Pull'!$A$2:$CB$593,MATCH(C37,'Prior Year Data Pull'!$A$2:$A$593,0),MATCH("Net Patient Service Revenue",'Prior Year Data Pull'!$A$1:$CB$1,0)),"")</f>
        <v>833889643</v>
      </c>
      <c r="AE37" s="47">
        <f>IFERROR(INDEX('Prior Year Data Pull'!$A$2:$CB$593,MATCH(C37,'Prior Year Data Pull'!$A$2:$A$593,0),MATCH("Total Current Assets",'Prior Year Data Pull'!$A$1:$CB$1,0)),"")</f>
        <v>174723019</v>
      </c>
      <c r="AF37" s="47">
        <f>IFERROR(INDEX('Prior Year Data Pull'!$A$2:$CB$593,MATCH(C37,'Prior Year Data Pull'!$A$2:$A$593,0),MATCH("Total Current Liabilities",'Prior Year Data Pull'!$A$1:$CB$1,0)),"")</f>
        <v>131837997</v>
      </c>
      <c r="AG37" s="47">
        <f>IFERROR(INDEX('Prior Year Data Pull'!$A$2:$CB$593,MATCH(C37,'Prior Year Data Pull'!$A$2:$A$593,0),MATCH("Total Non Operating Revenue",'Prior Year Data Pull'!$A$1:$CB$1,0)),"")</f>
        <v>14398361</v>
      </c>
      <c r="AH37" s="47">
        <f>IFERROR(INDEX('Prior Year Data Pull'!$A$2:$CB$593,MATCH(C37,'Prior Year Data Pull'!$A$2:$A$593,0),MATCH("Less Accumulated Depreciation",'Prior Year Data Pull'!$A$1:$CB$1,0)),"")</f>
        <v>427574053</v>
      </c>
      <c r="AI37" s="47">
        <f>IFERROR(INDEX('Prior Year Data Pull'!$A$2:$CB$593,MATCH(C37,'Prior Year Data Pull'!$A$2:$A$593,0),MATCH("Depreciation and Amortization Expense",'Prior Year Data Pull'!$A$1:$CB$1,0)),"")</f>
        <v>29405730</v>
      </c>
      <c r="AJ37" s="47">
        <f>IFERROR(INDEX('Prior Year Data Pull'!$A$2:$CB$593,MATCH(C37,'Prior Year Data Pull'!$A$2:$A$593,0),MATCH("Net Patient Accounts Receivable",'Prior Year Data Pull'!$A$1:$CB$1,0)),"")</f>
        <v>108876826</v>
      </c>
      <c r="AK37" s="46">
        <v>365</v>
      </c>
      <c r="AL37" s="47">
        <f>IFERROR(INDEX('Prior Year Data Pull'!$A$2:$CB$593,MATCH(C37,'Prior Year Data Pull'!$A$2:$A$593,0),MATCH("Estimated Third Party Settlements",'Prior Year Data Pull'!$A$1:$CB$1,0)),"")</f>
        <v>2571513</v>
      </c>
      <c r="AM37" s="47">
        <f>IFERROR(INDEX('Prior Year Data Pull'!$A$2:$CB$593,MATCH(C37,'Prior Year Data Pull'!$A$2:$A$593,0),MATCH("Current Liabilities due to Affiliates",'Prior Year Data Pull'!$A$1:$CB$1,0)),"")</f>
        <v>0</v>
      </c>
      <c r="AN37" s="47">
        <f>IFERROR(INDEX('Prior Year Data Pull'!$A$2:$CB$593,MATCH(C37,'Prior Year Data Pull'!$A$2:$A$593,0),MATCH("Short Term Investments",'Prior Year Data Pull'!$A$1:$CB$1,0)),"")</f>
        <v>0</v>
      </c>
      <c r="AO37" s="47">
        <f>IFERROR(INDEX('Prior Year Data Pull'!$A$2:$CB$593,MATCH(C37,'Prior Year Data Pull'!$A$2:$A$593,0),MATCH("Cash and Cash Equivalents",'Prior Year Data Pull'!$A$1:$CB$1,0)),"")</f>
        <v>21069704</v>
      </c>
      <c r="AP37" s="47">
        <f>IFERROR(INDEX('Prior Year Data Pull'!$A$2:$CB$593,MATCH(C37,'Prior Year Data Pull'!$A$2:$A$593,0),MATCH("Interest Expense",'Prior Year Data Pull'!$A$1:$CB$1,0)),"")</f>
        <v>6917178</v>
      </c>
      <c r="AQ37" s="47">
        <f>IFERROR(INDEX('Prior Year Data Pull'!$A$2:$CB$593,MATCH(C37,'Prior Year Data Pull'!$A$2:$A$593,0),MATCH("Long Term Debt Net of Current Portion",'Prior Year Data Pull'!$A$1:$CB$1,0)),"")</f>
        <v>143665403</v>
      </c>
      <c r="AR37" s="47">
        <f>IFERROR(INDEX('Prior Year Data Pull'!$A$2:$CB$593,MATCH(C37,'Prior Year Data Pull'!$A$2:$A$593,0),MATCH("Total Assets",'Prior Year Data Pull'!$A$1:$CB$1,0)),"")</f>
        <v>684276831</v>
      </c>
      <c r="AS37" s="47">
        <f>IFERROR(INDEX('Prior Year Data Pull'!$A$2:$CB$593,MATCH(C37,'Prior Year Data Pull'!$A$2:$A$593,0),MATCH("Long Term Debt Net of Current Portion",'Prior Year Data Pull'!$A$1:$CB$1,0)),"")</f>
        <v>143665403</v>
      </c>
      <c r="AT37" s="47">
        <f>IFERROR(INDEX('Prior Year Data Pull'!$A$2:$CB$593,MATCH(C37,'Prior Year Data Pull'!$A$2:$A$593,0),MATCH("Net Unrestricted Assets",'Prior Year Data Pull'!$A$1:$CB$1,0)),"")</f>
        <v>356242248</v>
      </c>
      <c r="AU37" s="47">
        <f>IFERROR(INDEX('Prior Year Data Pull'!$A$2:$CB$593,MATCH(C37,'Prior Year Data Pull'!$A$2:$A$593,0),MATCH("Unrealized Gains/Losses",'Prior Year Data Pull'!$A$1:$CB$1,0)),"")</f>
        <v>-13594155</v>
      </c>
      <c r="AV37" s="47">
        <f>IFERROR(INDEX('Prior Year Data Pull'!$A$2:$CB$593,MATCH(C37,'Prior Year Data Pull'!$A$2:$A$593,0),MATCH("Salary and Benefit Expense",'Prior Year Data Pull'!$A$1:$CB$1,0)),"")</f>
        <v>533624530</v>
      </c>
    </row>
    <row r="38" spans="1:48" ht="34.200000000000003" x14ac:dyDescent="0.3">
      <c r="A38" s="14" t="str">
        <f>IFERROR(INDEX('Static Data Tab'!$N$2:$N$610,MATCH(D38,'Static Data Tab'!$D$2:$D$610,0)), "")</f>
        <v>Boston Medical Center Health System</v>
      </c>
      <c r="B38" s="14" t="s">
        <v>693</v>
      </c>
      <c r="C38" s="14">
        <v>126</v>
      </c>
      <c r="D38" s="14">
        <v>14287</v>
      </c>
      <c r="E38" s="14" t="str">
        <f>IFERROR(INDEX('Prior Year Data Pull'!$A$1:$CB$593,MATCH(C38,'Prior Year Data Pull'!$A$1:$A$593,0),MATCH("Organization Type",'Prior Year Data Pull'!$A$1:$CB$1,0)),"")</f>
        <v>AcuteHospital</v>
      </c>
      <c r="F38" s="14" t="str">
        <f>IFERROR(INDEX('Static Data Tab'!$E$2:$E$610,MATCH(C38,'Static Data Tab'!$B$2:$B$610,0)), "-")</f>
        <v>Teaching Hospital</v>
      </c>
      <c r="G38" s="14" t="str">
        <f>IFERROR(INDEX('Static Data Tab'!$J$2:$J$610,MATCH(C38,'Static Data Tab'!$B$2:$B$610,0)), "")</f>
        <v>Metro Boston</v>
      </c>
      <c r="H38" s="14" t="str">
        <f>IFERROR(INDEX('Static Data Tab'!$F$2:$F$610,MATCH(C38,'Static Data Tab'!$B$2:$B$610,0)), "")</f>
        <v>x</v>
      </c>
      <c r="I38" s="14" t="str">
        <f>IFERROR(INDEX('Static Data Tab'!$G$2:$G$610,MATCH(C38,'Static Data Tab'!$B$2:$B$610,0)), "")</f>
        <v>x</v>
      </c>
      <c r="J38" s="14" t="str">
        <f>IFERROR(INDEX('Prior Year Data Pull'!$A$2:$CB$593,MATCH(C38,'Prior Year Data Pull'!$A$2:$A$593,0),MATCH("Quarter Range",'Prior Year Data Pull'!$A$1:$CB$1,0)),"")</f>
        <v xml:space="preserve">10/01/2024-09/30/2025
</v>
      </c>
      <c r="K38" s="37">
        <f t="shared" si="0"/>
        <v>-0.2725542429742242</v>
      </c>
      <c r="L38" s="37">
        <f t="shared" si="1"/>
        <v>5.8619868095948261E-4</v>
      </c>
      <c r="M38" s="37">
        <f t="shared" si="2"/>
        <v>-0.27196804429326471</v>
      </c>
      <c r="N38" s="38">
        <f t="shared" si="3"/>
        <v>-91494580</v>
      </c>
      <c r="O38" s="39">
        <f t="shared" si="4"/>
        <v>0.39314302037393872</v>
      </c>
      <c r="P38" s="38">
        <f>IFERROR(INDEX('Prior Year Data Pull'!$A$2:$CB$593,MATCH('Prior Year Data Table'!$C38,'Prior Year Data Pull'!$A$2:$A$593,0),MATCH("Total Net Assets or Equity",'Prior Year Data Pull'!$A$1:$CB$1,0)),"")</f>
        <v>-91495037</v>
      </c>
      <c r="Q38" s="38">
        <f>IFERROR(INDEX('Prior Year Data Pull'!$A$2:$CB$593,MATCH('Prior Year Data Table'!$C38,'Prior Year Data Pull'!$A$2:$A$593,0),MATCH("Total Operating Revenue",'Prior Year Data Pull'!$A$1:$CB$1,0)),"")</f>
        <v>336219449</v>
      </c>
      <c r="R38" s="38">
        <f>IFERROR(INDEX('Prior Year Data Pull'!$A$2:$CB$593,MATCH('Prior Year Data Table'!$C38,'Prior Year Data Pull'!$A$2:$A$593,0),MATCH("Total Unrestricted Revenue Gains and Other Support",'Prior Year Data Pull'!$A$1:$CB$1,0)),"")</f>
        <v>336416656</v>
      </c>
      <c r="S38" s="38">
        <f>IFERROR(INDEX('Prior Year TS Data Pull'!$K$2:$K$607,MATCH(C38,'Prior Year TS Data Pull'!$A$2:$A$607,0))+INDEX('Prior Year TS Data Pull'!$O$2:$O$119,MATCH(C38,'Prior Year TS Data Pull'!$A$2:$A$607,0))+INDEX('Prior Year TS Data Pull'!$S$2:$S$119,MATCH(C38,'Prior Year TS Data Pull'!$A$2:$A$607,0)),"")</f>
        <v>409072.16</v>
      </c>
      <c r="T38" s="38">
        <f>IF(INDEX('Prior Year TS Data Pull'!$A$1:$O$607,MATCH(C38,'Prior Year TS Data Pull'!$A$1:$A$607,0),MATCH("Temporary RN Staffing:
Line Reported on in Standardized Financials",'Prior Year TS Data Pull'!$A$1:$O$1,0))="66.1: Salary and Benefit Expense",'Prior Year Data Table'!$AV38-'Prior Year Data Table'!$S38,0)</f>
        <v>204577328.84</v>
      </c>
      <c r="U38" s="38">
        <f>IFERROR(INDEX('Prior Year Data Pull'!$A$2:$CB$593,MATCH(C38,'Prior Year Data Pull'!$A$2:$A$593,0),MATCH("Total Expenses Including Nonrecurring Gains Losses",'Prior Year Data Pull'!$A$1:$CB$1,0)),"")</f>
        <v>427911236</v>
      </c>
      <c r="V38" s="41">
        <f t="shared" si="5"/>
        <v>0.35878451559392188</v>
      </c>
      <c r="W38" s="41">
        <f t="shared" si="6"/>
        <v>80.231284167134163</v>
      </c>
      <c r="X38" s="41">
        <f t="shared" si="7"/>
        <v>180.3772840666328</v>
      </c>
      <c r="Y38" s="37">
        <f t="shared" si="8"/>
        <v>-0.6470234934964626</v>
      </c>
      <c r="Z38" s="41">
        <f t="shared" si="9"/>
        <v>9.9506407251121249</v>
      </c>
      <c r="AA38" s="39">
        <f t="shared" si="10"/>
        <v>-9.323085780189885</v>
      </c>
      <c r="AB38" s="37">
        <f t="shared" si="11"/>
        <v>-0.713883213903036</v>
      </c>
      <c r="AC38" s="37">
        <f t="shared" si="12"/>
        <v>-0.1007918118206573</v>
      </c>
      <c r="AD38" s="38">
        <f>IFERROR(INDEX('Prior Year Data Pull'!$A$2:$CB$593,MATCH(C38,'Prior Year Data Pull'!$A$2:$A$593,0),MATCH("Net Patient Service Revenue",'Prior Year Data Pull'!$A$1:$CB$1,0)),"")</f>
        <v>275047578</v>
      </c>
      <c r="AE38" s="38">
        <f>IFERROR(INDEX('Prior Year Data Pull'!$A$2:$CB$593,MATCH(C38,'Prior Year Data Pull'!$A$2:$A$593,0),MATCH("Total Current Assets",'Prior Year Data Pull'!$A$1:$CB$1,0)),"")</f>
        <v>82750757</v>
      </c>
      <c r="AF38" s="38">
        <f>IFERROR(INDEX('Prior Year Data Pull'!$A$2:$CB$593,MATCH(C38,'Prior Year Data Pull'!$A$2:$A$593,0),MATCH("Total Current Liabilities",'Prior Year Data Pull'!$A$1:$CB$1,0)),"")</f>
        <v>210485123</v>
      </c>
      <c r="AG38" s="38">
        <f>IFERROR(INDEX('Prior Year Data Pull'!$A$2:$CB$593,MATCH(C38,'Prior Year Data Pull'!$A$2:$A$593,0),MATCH("Total Non Operating Revenue",'Prior Year Data Pull'!$A$1:$CB$1,0)),"")</f>
        <v>197207</v>
      </c>
      <c r="AH38" s="38">
        <f>IFERROR(INDEX('Prior Year Data Pull'!$A$2:$CB$593,MATCH(C38,'Prior Year Data Pull'!$A$2:$A$593,0),MATCH("Less Accumulated Depreciation",'Prior Year Data Pull'!$A$1:$CB$1,0)),"")</f>
        <v>712879</v>
      </c>
      <c r="AI38" s="38">
        <f>IFERROR(INDEX('Prior Year Data Pull'!$A$2:$CB$593,MATCH(C38,'Prior Year Data Pull'!$A$2:$A$593,0),MATCH("Depreciation and Amortization Expense",'Prior Year Data Pull'!$A$1:$CB$1,0)),"")</f>
        <v>1986928</v>
      </c>
      <c r="AJ38" s="38">
        <f>IFERROR(INDEX('Prior Year Data Pull'!$A$2:$CB$593,MATCH(C38,'Prior Year Data Pull'!$A$2:$A$593,0),MATCH("Net Patient Accounts Receivable",'Prior Year Data Pull'!$A$1:$CB$1,0)),"")</f>
        <v>60458686</v>
      </c>
      <c r="AK38" s="14">
        <v>365</v>
      </c>
      <c r="AL38" s="38">
        <f>IFERROR(INDEX('Prior Year Data Pull'!$A$2:$CB$593,MATCH(C38,'Prior Year Data Pull'!$A$2:$A$593,0),MATCH("Estimated Third Party Settlements",'Prior Year Data Pull'!$A$1:$CB$1,0)),"")</f>
        <v>0</v>
      </c>
      <c r="AM38" s="38">
        <f>IFERROR(INDEX('Prior Year Data Pull'!$A$2:$CB$593,MATCH(C38,'Prior Year Data Pull'!$A$2:$A$593,0),MATCH("Current Liabilities due to Affiliates",'Prior Year Data Pull'!$A$1:$CB$1,0)),"")</f>
        <v>129960000</v>
      </c>
      <c r="AN38" s="38">
        <f>IFERROR(INDEX('Prior Year Data Pull'!$A$2:$CB$593,MATCH(C38,'Prior Year Data Pull'!$A$2:$A$593,0),MATCH("Short Term Investments",'Prior Year Data Pull'!$A$1:$CB$1,0)),"")</f>
        <v>0</v>
      </c>
      <c r="AO38" s="38">
        <f>IFERROR(INDEX('Prior Year Data Pull'!$A$2:$CB$593,MATCH(C38,'Prior Year Data Pull'!$A$2:$A$593,0),MATCH("Cash and Cash Equivalents",'Prior Year Data Pull'!$A$1:$CB$1,0)),"")</f>
        <v>11611561</v>
      </c>
      <c r="AP38" s="38">
        <f>IFERROR(INDEX('Prior Year Data Pull'!$A$2:$CB$593,MATCH(C38,'Prior Year Data Pull'!$A$2:$A$593,0),MATCH("Interest Expense",'Prior Year Data Pull'!$A$1:$CB$1,0)),"")</f>
        <v>1104605</v>
      </c>
      <c r="AQ38" s="38">
        <f>IFERROR(INDEX('Prior Year Data Pull'!$A$2:$CB$593,MATCH(C38,'Prior Year Data Pull'!$A$2:$A$593,0),MATCH("Long Term Debt Net of Current Portion",'Prior Year Data Pull'!$A$1:$CB$1,0)),"")</f>
        <v>8377561</v>
      </c>
      <c r="AR38" s="38">
        <f>IFERROR(INDEX('Prior Year Data Pull'!$A$2:$CB$593,MATCH(C38,'Prior Year Data Pull'!$A$2:$A$593,0),MATCH("Total Assets",'Prior Year Data Pull'!$A$1:$CB$1,0)),"")</f>
        <v>128165273</v>
      </c>
      <c r="AS38" s="38">
        <f>IFERROR(INDEX('Prior Year Data Pull'!$A$2:$CB$593,MATCH(C38,'Prior Year Data Pull'!$A$2:$A$593,0),MATCH("Long Term Debt Net of Current Portion",'Prior Year Data Pull'!$A$1:$CB$1,0)),"")</f>
        <v>8377561</v>
      </c>
      <c r="AT38" s="38">
        <f>IFERROR(INDEX('Prior Year Data Pull'!$A$2:$CB$593,MATCH(C38,'Prior Year Data Pull'!$A$2:$A$593,0),MATCH("Net Unrestricted Assets",'Prior Year Data Pull'!$A$1:$CB$1,0)),"")</f>
        <v>-91495037</v>
      </c>
      <c r="AU38" s="38">
        <f>IFERROR(INDEX('Prior Year Data Pull'!$A$2:$CB$593,MATCH(C38,'Prior Year Data Pull'!$A$2:$A$593,0),MATCH("Unrealized Gains/Losses",'Prior Year Data Pull'!$A$1:$CB$1,0)),"")</f>
        <v>0</v>
      </c>
      <c r="AV38" s="38">
        <f>IFERROR(INDEX('Prior Year Data Pull'!$A$2:$CB$593,MATCH(C38,'Prior Year Data Pull'!$A$2:$A$593,0),MATCH("Salary and Benefit Expense",'Prior Year Data Pull'!$A$1:$CB$1,0)),"")</f>
        <v>204986401</v>
      </c>
    </row>
    <row r="39" spans="1:48" ht="34.200000000000003" x14ac:dyDescent="0.3">
      <c r="A39" s="46" t="str">
        <f>IFERROR(INDEX('Static Data Tab'!$N$2:$N$610,MATCH(D39,'Static Data Tab'!$D$2:$D$610,0)), "")</f>
        <v>Sturdy Memorial Foundation</v>
      </c>
      <c r="B39" s="46" t="s">
        <v>181</v>
      </c>
      <c r="C39" s="46">
        <v>129</v>
      </c>
      <c r="D39" s="46">
        <v>12773</v>
      </c>
      <c r="E39" s="46" t="str">
        <f>IFERROR(INDEX('Prior Year Data Pull'!$A$1:$CB$593,MATCH(C39,'Prior Year Data Pull'!$A$1:$A$593,0),MATCH("Organization Type",'Prior Year Data Pull'!$A$1:$CB$1,0)),"")</f>
        <v>AcuteHospital</v>
      </c>
      <c r="F39" s="46" t="str">
        <f>IFERROR(INDEX('Static Data Tab'!$E$2:$E$610,MATCH(C39,'Static Data Tab'!$B$2:$B$610,0)), "-")</f>
        <v>Community-High Public Payer Hospital</v>
      </c>
      <c r="G39" s="46" t="str">
        <f>IFERROR(INDEX('Static Data Tab'!$J$2:$J$610,MATCH(C39,'Static Data Tab'!$B$2:$B$610,0)), "")</f>
        <v>Metro West</v>
      </c>
      <c r="H39" s="46" t="str">
        <f>IFERROR(INDEX('Static Data Tab'!$F$2:$F$610,MATCH(C39,'Static Data Tab'!$B$2:$B$610,0)), "")</f>
        <v>x</v>
      </c>
      <c r="I39" s="46">
        <f>IFERROR(INDEX('Static Data Tab'!$G$2:$G$610,MATCH(C39,'Static Data Tab'!$B$2:$B$610,0)), "")</f>
        <v>0</v>
      </c>
      <c r="J39" s="46" t="str">
        <f>IFERROR(INDEX('Prior Year Data Pull'!$A$2:$CB$593,MATCH(C39,'Prior Year Data Pull'!$A$2:$A$593,0),MATCH("Quarter Range",'Prior Year Data Pull'!$A$1:$CB$1,0)),"")</f>
        <v xml:space="preserve">10/01/2024-09/30/2025
</v>
      </c>
      <c r="K39" s="45">
        <f t="shared" si="0"/>
        <v>1.0258786123467411E-2</v>
      </c>
      <c r="L39" s="45">
        <f t="shared" si="1"/>
        <v>0.13564098703393437</v>
      </c>
      <c r="M39" s="45">
        <f t="shared" si="2"/>
        <v>0.1458997731574018</v>
      </c>
      <c r="N39" s="47">
        <f t="shared" si="3"/>
        <v>44986706</v>
      </c>
      <c r="O39" s="265">
        <f t="shared" si="4"/>
        <v>1.7503338322805144</v>
      </c>
      <c r="P39" s="47">
        <f>IFERROR(INDEX('Prior Year Data Pull'!$A$2:$CB$593,MATCH('Prior Year Data Table'!$C39,'Prior Year Data Pull'!$A$2:$A$593,0),MATCH("Total Net Assets or Equity",'Prior Year Data Pull'!$A$1:$CB$1,0)),"")</f>
        <v>609198489</v>
      </c>
      <c r="Q39" s="47">
        <f>IFERROR(INDEX('Prior Year Data Pull'!$A$2:$CB$593,MATCH('Prior Year Data Table'!$C39,'Prior Year Data Pull'!$A$2:$A$593,0),MATCH("Total Operating Revenue",'Prior Year Data Pull'!$A$1:$CB$1,0)),"")</f>
        <v>266516280</v>
      </c>
      <c r="R39" s="47">
        <f>IFERROR(INDEX('Prior Year Data Pull'!$A$2:$CB$593,MATCH('Prior Year Data Table'!$C39,'Prior Year Data Pull'!$A$2:$A$593,0),MATCH("Total Unrestricted Revenue Gains and Other Support",'Prior Year Data Pull'!$A$1:$CB$1,0)),"")</f>
        <v>308339794</v>
      </c>
      <c r="S39" s="47">
        <f>IFERROR(INDEX('Prior Year TS Data Pull'!$K$2:$K$607,MATCH(C39,'Prior Year TS Data Pull'!$A$2:$A$607,0))+INDEX('Prior Year TS Data Pull'!$O$2:$O$119,MATCH(C39,'Prior Year TS Data Pull'!$A$2:$A$607,0))+INDEX('Prior Year TS Data Pull'!$S$2:$S$119,MATCH(C39,'Prior Year TS Data Pull'!$A$2:$A$607,0)),"")</f>
        <v>347574.44</v>
      </c>
      <c r="T39" s="47">
        <f>IF(INDEX('Prior Year TS Data Pull'!$A$1:$O$607,MATCH(C39,'Prior Year TS Data Pull'!$A$1:$A$607,0),MATCH("Temporary RN Staffing:
Line Reported on in Standardized Financials",'Prior Year TS Data Pull'!$A$1:$O$1,0))="66.1: Salary and Benefit Expense",'Prior Year Data Table'!$AV39-'Prior Year Data Table'!$S39,0)</f>
        <v>0</v>
      </c>
      <c r="U39" s="47">
        <f>IFERROR(INDEX('Prior Year Data Pull'!$A$2:$CB$593,MATCH(C39,'Prior Year Data Pull'!$A$2:$A$593,0),MATCH("Total Expenses Including Nonrecurring Gains Losses",'Prior Year Data Pull'!$A$1:$CB$1,0)),"")</f>
        <v>263353088</v>
      </c>
      <c r="V39" s="266">
        <f t="shared" si="5"/>
        <v>14.688196270652208</v>
      </c>
      <c r="W39" s="266">
        <f t="shared" si="6"/>
        <v>36.992312327634352</v>
      </c>
      <c r="X39" s="266">
        <f t="shared" si="7"/>
        <v>44.71041579440265</v>
      </c>
      <c r="Y39" s="45">
        <f t="shared" si="8"/>
        <v>1.1318177328379313</v>
      </c>
      <c r="Z39" s="266">
        <f t="shared" si="9"/>
        <v>26.786474935277592</v>
      </c>
      <c r="AA39" s="265">
        <f t="shared" si="10"/>
        <v>1.1481702035756514</v>
      </c>
      <c r="AB39" s="45">
        <f t="shared" si="11"/>
        <v>0.85874691291736216</v>
      </c>
      <c r="AC39" s="45">
        <f t="shared" si="12"/>
        <v>7.4378915435613327E-2</v>
      </c>
      <c r="AD39" s="47">
        <f>IFERROR(INDEX('Prior Year Data Pull'!$A$2:$CB$593,MATCH(C39,'Prior Year Data Pull'!$A$2:$A$593,0),MATCH("Net Patient Service Revenue",'Prior Year Data Pull'!$A$1:$CB$1,0)),"")</f>
        <v>252845843</v>
      </c>
      <c r="AE39" s="47">
        <f>IFERROR(INDEX('Prior Year Data Pull'!$A$2:$CB$593,MATCH(C39,'Prior Year Data Pull'!$A$2:$A$593,0),MATCH("Total Current Assets",'Prior Year Data Pull'!$A$1:$CB$1,0)),"")</f>
        <v>57696970</v>
      </c>
      <c r="AF39" s="47">
        <f>IFERROR(INDEX('Prior Year Data Pull'!$A$2:$CB$593,MATCH(C39,'Prior Year Data Pull'!$A$2:$A$593,0),MATCH("Total Current Liabilities",'Prior Year Data Pull'!$A$1:$CB$1,0)),"")</f>
        <v>32963409</v>
      </c>
      <c r="AG39" s="47">
        <f>IFERROR(INDEX('Prior Year Data Pull'!$A$2:$CB$593,MATCH(C39,'Prior Year Data Pull'!$A$2:$A$593,0),MATCH("Total Non Operating Revenue",'Prior Year Data Pull'!$A$1:$CB$1,0)),"")</f>
        <v>41823514</v>
      </c>
      <c r="AH39" s="47">
        <f>IFERROR(INDEX('Prior Year Data Pull'!$A$2:$CB$593,MATCH(C39,'Prior Year Data Pull'!$A$2:$A$593,0),MATCH("Less Accumulated Depreciation",'Prior Year Data Pull'!$A$1:$CB$1,0)),"")</f>
        <v>164758702</v>
      </c>
      <c r="AI39" s="47">
        <f>IFERROR(INDEX('Prior Year Data Pull'!$A$2:$CB$593,MATCH(C39,'Prior Year Data Pull'!$A$2:$A$593,0),MATCH("Depreciation and Amortization Expense",'Prior Year Data Pull'!$A$1:$CB$1,0)),"")</f>
        <v>11217082</v>
      </c>
      <c r="AJ39" s="47">
        <f>IFERROR(INDEX('Prior Year Data Pull'!$A$2:$CB$593,MATCH(C39,'Prior Year Data Pull'!$A$2:$A$593,0),MATCH("Net Patient Accounts Receivable",'Prior Year Data Pull'!$A$1:$CB$1,0)),"")</f>
        <v>25625623</v>
      </c>
      <c r="AK39" s="46">
        <v>365</v>
      </c>
      <c r="AL39" s="47">
        <f>IFERROR(INDEX('Prior Year Data Pull'!$A$2:$CB$593,MATCH(C39,'Prior Year Data Pull'!$A$2:$A$593,0),MATCH("Estimated Third Party Settlements",'Prior Year Data Pull'!$A$1:$CB$1,0)),"")</f>
        <v>2078188</v>
      </c>
      <c r="AM39" s="47">
        <f>IFERROR(INDEX('Prior Year Data Pull'!$A$2:$CB$593,MATCH(C39,'Prior Year Data Pull'!$A$2:$A$593,0),MATCH("Current Liabilities due to Affiliates",'Prior Year Data Pull'!$A$1:$CB$1,0)),"")</f>
        <v>707239</v>
      </c>
      <c r="AN39" s="47">
        <f>IFERROR(INDEX('Prior Year Data Pull'!$A$2:$CB$593,MATCH(C39,'Prior Year Data Pull'!$A$2:$A$593,0),MATCH("Short Term Investments",'Prior Year Data Pull'!$A$1:$CB$1,0)),"")</f>
        <v>0</v>
      </c>
      <c r="AO39" s="47">
        <f>IFERROR(INDEX('Prior Year Data Pull'!$A$2:$CB$593,MATCH(C39,'Prior Year Data Pull'!$A$2:$A$593,0),MATCH("Cash and Cash Equivalents",'Prior Year Data Pull'!$A$1:$CB$1,0)),"")</f>
        <v>18503657</v>
      </c>
      <c r="AP39" s="47">
        <f>IFERROR(INDEX('Prior Year Data Pull'!$A$2:$CB$593,MATCH(C39,'Prior Year Data Pull'!$A$2:$A$593,0),MATCH("Interest Expense",'Prior Year Data Pull'!$A$1:$CB$1,0)),"")</f>
        <v>0</v>
      </c>
      <c r="AQ39" s="47">
        <f>IFERROR(INDEX('Prior Year Data Pull'!$A$2:$CB$593,MATCH(C39,'Prior Year Data Pull'!$A$2:$A$593,0),MATCH("Long Term Debt Net of Current Portion",'Prior Year Data Pull'!$A$1:$CB$1,0)),"")</f>
        <v>48950746</v>
      </c>
      <c r="AR39" s="47">
        <f>IFERROR(INDEX('Prior Year Data Pull'!$A$2:$CB$593,MATCH(C39,'Prior Year Data Pull'!$A$2:$A$593,0),MATCH("Total Assets",'Prior Year Data Pull'!$A$1:$CB$1,0)),"")</f>
        <v>709403993</v>
      </c>
      <c r="AS39" s="47">
        <f>IFERROR(INDEX('Prior Year Data Pull'!$A$2:$CB$593,MATCH(C39,'Prior Year Data Pull'!$A$2:$A$593,0),MATCH("Long Term Debt Net of Current Portion",'Prior Year Data Pull'!$A$1:$CB$1,0)),"")</f>
        <v>48950746</v>
      </c>
      <c r="AT39" s="47">
        <f>IFERROR(INDEX('Prior Year Data Pull'!$A$2:$CB$593,MATCH(C39,'Prior Year Data Pull'!$A$2:$A$593,0),MATCH("Net Unrestricted Assets",'Prior Year Data Pull'!$A$1:$CB$1,0)),"")</f>
        <v>609175898</v>
      </c>
      <c r="AU39" s="47">
        <f>IFERROR(INDEX('Prior Year Data Pull'!$A$2:$CB$593,MATCH(C39,'Prior Year Data Pull'!$A$2:$A$593,0),MATCH("Unrealized Gains/Losses",'Prior Year Data Pull'!$A$1:$CB$1,0)),"")</f>
        <v>0</v>
      </c>
      <c r="AV39" s="47">
        <f>IFERROR(INDEX('Prior Year Data Pull'!$A$2:$CB$593,MATCH(C39,'Prior Year Data Pull'!$A$2:$A$593,0),MATCH("Salary and Benefit Expense",'Prior Year Data Pull'!$A$1:$CB$1,0)),"")</f>
        <v>152089795</v>
      </c>
    </row>
    <row r="40" spans="1:48" ht="34.200000000000003" x14ac:dyDescent="0.3">
      <c r="A40" s="14" t="str">
        <f>IFERROR(INDEX('Static Data Tab'!$N$2:$N$610,MATCH(D40,'Static Data Tab'!$D$2:$D$610,0)), "")</f>
        <v>UMass Memorial Health Care</v>
      </c>
      <c r="B40" s="14" t="s">
        <v>200</v>
      </c>
      <c r="C40" s="14">
        <v>133</v>
      </c>
      <c r="D40" s="14">
        <v>6755</v>
      </c>
      <c r="E40" s="14" t="str">
        <f>IFERROR(INDEX('Prior Year Data Pull'!$A$1:$CB$593,MATCH(C40,'Prior Year Data Pull'!$A$1:$A$593,0),MATCH("Organization Type",'Prior Year Data Pull'!$A$1:$CB$1,0)),"")</f>
        <v>AcuteHospital</v>
      </c>
      <c r="F40" s="14" t="str">
        <f>IFERROR(INDEX('Static Data Tab'!$E$2:$E$610,MATCH(C40,'Static Data Tab'!$B$2:$B$610,0)), "-")</f>
        <v>Community-High Public Payer Hospital</v>
      </c>
      <c r="G40" s="14" t="str">
        <f>IFERROR(INDEX('Static Data Tab'!$J$2:$J$610,MATCH(C40,'Static Data Tab'!$B$2:$B$610,0)), "")</f>
        <v>Metro West</v>
      </c>
      <c r="H40" s="14" t="str">
        <f>IFERROR(INDEX('Static Data Tab'!$F$2:$F$610,MATCH(C40,'Static Data Tab'!$B$2:$B$610,0)), "")</f>
        <v>x</v>
      </c>
      <c r="I40" s="14">
        <f>IFERROR(INDEX('Static Data Tab'!$G$2:$G$610,MATCH(C40,'Static Data Tab'!$B$2:$B$610,0)), "")</f>
        <v>0</v>
      </c>
      <c r="J40" s="14" t="str">
        <f>IFERROR(INDEX('Prior Year Data Pull'!$A$2:$CB$593,MATCH(C40,'Prior Year Data Pull'!$A$2:$A$593,0),MATCH("Quarter Range",'Prior Year Data Pull'!$A$1:$CB$1,0)),"")</f>
        <v xml:space="preserve">10/01/2024-09/30/2025
</v>
      </c>
      <c r="K40" s="37">
        <f t="shared" si="0"/>
        <v>2.1458374726803099E-2</v>
      </c>
      <c r="L40" s="37">
        <f t="shared" si="1"/>
        <v>2.5122193522749851E-2</v>
      </c>
      <c r="M40" s="37">
        <f t="shared" si="2"/>
        <v>4.658056824955295E-2</v>
      </c>
      <c r="N40" s="38">
        <f t="shared" si="3"/>
        <v>5861000</v>
      </c>
      <c r="O40" s="39">
        <f t="shared" si="4"/>
        <v>1.0365493491236866</v>
      </c>
      <c r="P40" s="38">
        <f>IFERROR(INDEX('Prior Year Data Pull'!$A$2:$CB$593,MATCH('Prior Year Data Table'!$C40,'Prior Year Data Pull'!$A$2:$A$593,0),MATCH("Total Net Assets or Equity",'Prior Year Data Pull'!$A$1:$CB$1,0)),"")</f>
        <v>67354000</v>
      </c>
      <c r="Q40" s="38">
        <f>IFERROR(INDEX('Prior Year Data Pull'!$A$2:$CB$593,MATCH('Prior Year Data Table'!$C40,'Prior Year Data Pull'!$A$2:$A$593,0),MATCH("Total Operating Revenue",'Prior Year Data Pull'!$A$1:$CB$1,0)),"")</f>
        <v>122664000</v>
      </c>
      <c r="R40" s="38">
        <f>IFERROR(INDEX('Prior Year Data Pull'!$A$2:$CB$593,MATCH('Prior Year Data Table'!$C40,'Prior Year Data Pull'!$A$2:$A$593,0),MATCH("Total Unrestricted Revenue Gains and Other Support",'Prior Year Data Pull'!$A$1:$CB$1,0)),"")</f>
        <v>125825000</v>
      </c>
      <c r="S40" s="38">
        <f>IFERROR(INDEX('Prior Year TS Data Pull'!$K$2:$K$607,MATCH(C40,'Prior Year TS Data Pull'!$A$2:$A$607,0))+INDEX('Prior Year TS Data Pull'!$O$2:$O$119,MATCH(C40,'Prior Year TS Data Pull'!$A$2:$A$607,0))+INDEX('Prior Year TS Data Pull'!$S$2:$S$119,MATCH(C40,'Prior Year TS Data Pull'!$A$2:$A$607,0)),"")</f>
        <v>1298589.3799999999</v>
      </c>
      <c r="T40" s="38">
        <f>IF(INDEX('Prior Year TS Data Pull'!$A$1:$O$607,MATCH(C40,'Prior Year TS Data Pull'!$A$1:$A$607,0),MATCH("Temporary RN Staffing:
Line Reported on in Standardized Financials",'Prior Year TS Data Pull'!$A$1:$O$1,0))="66.1: Salary and Benefit Expense",'Prior Year Data Table'!$AV40-'Prior Year Data Table'!$S40,0)</f>
        <v>0</v>
      </c>
      <c r="U40" s="38">
        <f>IFERROR(INDEX('Prior Year Data Pull'!$A$2:$CB$593,MATCH(C40,'Prior Year Data Pull'!$A$2:$A$593,0),MATCH("Total Expenses Including Nonrecurring Gains Losses",'Prior Year Data Pull'!$A$1:$CB$1,0)),"")</f>
        <v>119964000</v>
      </c>
      <c r="V40" s="41">
        <f t="shared" si="5"/>
        <v>11.914685684099313</v>
      </c>
      <c r="W40" s="41">
        <f t="shared" si="6"/>
        <v>36.137668997275803</v>
      </c>
      <c r="X40" s="41">
        <f t="shared" si="7"/>
        <v>857.51028594053946</v>
      </c>
      <c r="Y40" s="37">
        <f t="shared" si="8"/>
        <v>3.6995988617798882E-2</v>
      </c>
      <c r="Z40" s="41">
        <f t="shared" si="9"/>
        <v>7.4836027475081339</v>
      </c>
      <c r="AA40" s="39">
        <f t="shared" si="10"/>
        <v>14.036486486486487</v>
      </c>
      <c r="AB40" s="37">
        <f t="shared" si="11"/>
        <v>0.19105024592535441</v>
      </c>
      <c r="AC40" s="37">
        <f t="shared" si="12"/>
        <v>0</v>
      </c>
      <c r="AD40" s="38">
        <f>IFERROR(INDEX('Prior Year Data Pull'!$A$2:$CB$593,MATCH(C40,'Prior Year Data Pull'!$A$2:$A$593,0),MATCH("Net Patient Service Revenue",'Prior Year Data Pull'!$A$1:$CB$1,0)),"")</f>
        <v>118567000</v>
      </c>
      <c r="AE40" s="38">
        <f>IFERROR(INDEX('Prior Year Data Pull'!$A$2:$CB$593,MATCH(C40,'Prior Year Data Pull'!$A$2:$A$593,0),MATCH("Total Current Assets",'Prior Year Data Pull'!$A$1:$CB$1,0)),"")</f>
        <v>283234000</v>
      </c>
      <c r="AF40" s="38">
        <f>IFERROR(INDEX('Prior Year Data Pull'!$A$2:$CB$593,MATCH(C40,'Prior Year Data Pull'!$A$2:$A$593,0),MATCH("Total Current Liabilities",'Prior Year Data Pull'!$A$1:$CB$1,0)),"")</f>
        <v>273247000</v>
      </c>
      <c r="AG40" s="38">
        <f>IFERROR(INDEX('Prior Year Data Pull'!$A$2:$CB$593,MATCH(C40,'Prior Year Data Pull'!$A$2:$A$593,0),MATCH("Total Non Operating Revenue",'Prior Year Data Pull'!$A$1:$CB$1,0)),"")</f>
        <v>3161000</v>
      </c>
      <c r="AH40" s="38">
        <f>IFERROR(INDEX('Prior Year Data Pull'!$A$2:$CB$593,MATCH(C40,'Prior Year Data Pull'!$A$2:$A$593,0),MATCH("Less Accumulated Depreciation",'Prior Year Data Pull'!$A$1:$CB$1,0)),"")</f>
        <v>45109000</v>
      </c>
      <c r="AI40" s="38">
        <f>IFERROR(INDEX('Prior Year Data Pull'!$A$2:$CB$593,MATCH(C40,'Prior Year Data Pull'!$A$2:$A$593,0),MATCH("Depreciation and Amortization Expense",'Prior Year Data Pull'!$A$1:$CB$1,0)),"")</f>
        <v>3786000</v>
      </c>
      <c r="AJ40" s="38">
        <f>IFERROR(INDEX('Prior Year Data Pull'!$A$2:$CB$593,MATCH(C40,'Prior Year Data Pull'!$A$2:$A$593,0),MATCH("Net Patient Accounts Receivable",'Prior Year Data Pull'!$A$1:$CB$1,0)),"")</f>
        <v>11739000</v>
      </c>
      <c r="AK40" s="14">
        <v>365</v>
      </c>
      <c r="AL40" s="38">
        <f>IFERROR(INDEX('Prior Year Data Pull'!$A$2:$CB$593,MATCH(C40,'Prior Year Data Pull'!$A$2:$A$593,0),MATCH("Estimated Third Party Settlements",'Prior Year Data Pull'!$A$1:$CB$1,0)),"")</f>
        <v>305000</v>
      </c>
      <c r="AM40" s="38">
        <f>IFERROR(INDEX('Prior Year Data Pull'!$A$2:$CB$593,MATCH(C40,'Prior Year Data Pull'!$A$2:$A$593,0),MATCH("Current Liabilities due to Affiliates",'Prior Year Data Pull'!$A$1:$CB$1,0)),"")</f>
        <v>260758000</v>
      </c>
      <c r="AN40" s="38">
        <f>IFERROR(INDEX('Prior Year Data Pull'!$A$2:$CB$593,MATCH(C40,'Prior Year Data Pull'!$A$2:$A$593,0),MATCH("Short Term Investments",'Prior Year Data Pull'!$A$1:$CB$1,0)),"")</f>
        <v>456000</v>
      </c>
      <c r="AO40" s="38">
        <f>IFERROR(INDEX('Prior Year Data Pull'!$A$2:$CB$593,MATCH(C40,'Prior Year Data Pull'!$A$2:$A$593,0),MATCH("Cash and Cash Equivalents",'Prior Year Data Pull'!$A$1:$CB$1,0)),"")</f>
        <v>1926000</v>
      </c>
      <c r="AP40" s="38">
        <f>IFERROR(INDEX('Prior Year Data Pull'!$A$2:$CB$593,MATCH(C40,'Prior Year Data Pull'!$A$2:$A$593,0),MATCH("Interest Expense",'Prior Year Data Pull'!$A$1:$CB$1,0)),"")</f>
        <v>740000</v>
      </c>
      <c r="AQ40" s="38">
        <f>IFERROR(INDEX('Prior Year Data Pull'!$A$2:$CB$593,MATCH(C40,'Prior Year Data Pull'!$A$2:$A$593,0),MATCH("Long Term Debt Net of Current Portion",'Prior Year Data Pull'!$A$1:$CB$1,0)),"")</f>
        <v>0</v>
      </c>
      <c r="AR40" s="38">
        <f>IFERROR(INDEX('Prior Year Data Pull'!$A$2:$CB$593,MATCH(C40,'Prior Year Data Pull'!$A$2:$A$593,0),MATCH("Total Assets",'Prior Year Data Pull'!$A$1:$CB$1,0)),"")</f>
        <v>352546000</v>
      </c>
      <c r="AS40" s="38">
        <f>IFERROR(INDEX('Prior Year Data Pull'!$A$2:$CB$593,MATCH(C40,'Prior Year Data Pull'!$A$2:$A$593,0),MATCH("Long Term Debt Net of Current Portion",'Prior Year Data Pull'!$A$1:$CB$1,0)),"")</f>
        <v>0</v>
      </c>
      <c r="AT40" s="38">
        <f>IFERROR(INDEX('Prior Year Data Pull'!$A$2:$CB$593,MATCH(C40,'Prior Year Data Pull'!$A$2:$A$593,0),MATCH("Net Unrestricted Assets",'Prior Year Data Pull'!$A$1:$CB$1,0)),"")</f>
        <v>61330000</v>
      </c>
      <c r="AU40" s="38">
        <f>IFERROR(INDEX('Prior Year Data Pull'!$A$2:$CB$593,MATCH(C40,'Prior Year Data Pull'!$A$2:$A$593,0),MATCH("Unrealized Gains/Losses",'Prior Year Data Pull'!$A$1:$CB$1,0)),"")</f>
        <v>0</v>
      </c>
      <c r="AV40" s="38">
        <f>IFERROR(INDEX('Prior Year Data Pull'!$A$2:$CB$593,MATCH(C40,'Prior Year Data Pull'!$A$2:$A$593,0),MATCH("Salary and Benefit Expense",'Prior Year Data Pull'!$A$1:$CB$1,0)),"")</f>
        <v>49743000</v>
      </c>
    </row>
    <row r="41" spans="1:48" ht="34.200000000000003" x14ac:dyDescent="0.3">
      <c r="A41" s="46" t="str">
        <f>IFERROR(INDEX('Static Data Tab'!$N$2:$N$610,MATCH(D41,'Static Data Tab'!$D$2:$D$610,0)), "")</f>
        <v>Beth Israel Lahey Health</v>
      </c>
      <c r="B41" s="46" t="s">
        <v>101</v>
      </c>
      <c r="C41" s="46">
        <v>138</v>
      </c>
      <c r="D41" s="46">
        <v>16665</v>
      </c>
      <c r="E41" s="46" t="str">
        <f>IFERROR(INDEX('Prior Year Data Pull'!$A$1:$CB$593,MATCH(C41,'Prior Year Data Pull'!$A$1:$A$593,0),MATCH("Organization Type",'Prior Year Data Pull'!$A$1:$CB$1,0)),"")</f>
        <v>AcuteHospital</v>
      </c>
      <c r="F41" s="46" t="str">
        <f>IFERROR(INDEX('Static Data Tab'!$E$2:$E$610,MATCH(C41,'Static Data Tab'!$B$2:$B$610,0)), "-")</f>
        <v>Community Hospital</v>
      </c>
      <c r="G41" s="46" t="str">
        <f>IFERROR(INDEX('Static Data Tab'!$J$2:$J$610,MATCH(C41,'Static Data Tab'!$B$2:$B$610,0)), "")</f>
        <v>Northeastern Massachusetts</v>
      </c>
      <c r="H41" s="46">
        <f>IFERROR(INDEX('Static Data Tab'!$F$2:$F$610,MATCH(C41,'Static Data Tab'!$B$2:$B$610,0)), "")</f>
        <v>0</v>
      </c>
      <c r="I41" s="46">
        <f>IFERROR(INDEX('Static Data Tab'!$G$2:$G$610,MATCH(C41,'Static Data Tab'!$B$2:$B$610,0)), "")</f>
        <v>0</v>
      </c>
      <c r="J41" s="46" t="str">
        <f>IFERROR(INDEX('Prior Year Data Pull'!$A$2:$CB$593,MATCH(C41,'Prior Year Data Pull'!$A$2:$A$593,0),MATCH("Quarter Range",'Prior Year Data Pull'!$A$1:$CB$1,0)),"")</f>
        <v xml:space="preserve">10/01/2024-09/30/2025
</v>
      </c>
      <c r="K41" s="45">
        <f t="shared" si="0"/>
        <v>0.10775464741127669</v>
      </c>
      <c r="L41" s="45">
        <f t="shared" si="1"/>
        <v>4.8944250268858507E-2</v>
      </c>
      <c r="M41" s="45">
        <f t="shared" si="2"/>
        <v>0.1566988976801352</v>
      </c>
      <c r="N41" s="47">
        <f t="shared" si="3"/>
        <v>65277000</v>
      </c>
      <c r="O41" s="265">
        <f t="shared" si="4"/>
        <v>8.5637884388217813</v>
      </c>
      <c r="P41" s="47">
        <f>IFERROR(INDEX('Prior Year Data Pull'!$A$2:$CB$593,MATCH('Prior Year Data Table'!$C41,'Prior Year Data Pull'!$A$2:$A$593,0),MATCH("Total Net Assets or Equity",'Prior Year Data Pull'!$A$1:$CB$1,0)),"")</f>
        <v>491544000</v>
      </c>
      <c r="Q41" s="47">
        <f>IFERROR(INDEX('Prior Year Data Pull'!$A$2:$CB$593,MATCH('Prior Year Data Table'!$C41,'Prior Year Data Pull'!$A$2:$A$593,0),MATCH("Total Operating Revenue",'Prior Year Data Pull'!$A$1:$CB$1,0)),"")</f>
        <v>396187000</v>
      </c>
      <c r="R41" s="47">
        <f>IFERROR(INDEX('Prior Year Data Pull'!$A$2:$CB$593,MATCH('Prior Year Data Table'!$C41,'Prior Year Data Pull'!$A$2:$A$593,0),MATCH("Total Unrestricted Revenue Gains and Other Support",'Prior Year Data Pull'!$A$1:$CB$1,0)),"")</f>
        <v>416576000</v>
      </c>
      <c r="S41" s="47">
        <f>IFERROR(INDEX('Prior Year TS Data Pull'!$K$2:$K$607,MATCH(C41,'Prior Year TS Data Pull'!$A$2:$A$607,0))+INDEX('Prior Year TS Data Pull'!$O$2:$O$119,MATCH(C41,'Prior Year TS Data Pull'!$A$2:$A$607,0))+INDEX('Prior Year TS Data Pull'!$S$2:$S$119,MATCH(C41,'Prior Year TS Data Pull'!$A$2:$A$607,0)),"")</f>
        <v>387320</v>
      </c>
      <c r="T41" s="47">
        <f>IF(INDEX('Prior Year TS Data Pull'!$A$1:$O$607,MATCH(C41,'Prior Year TS Data Pull'!$A$1:$A$607,0),MATCH("Temporary RN Staffing:
Line Reported on in Standardized Financials",'Prior Year TS Data Pull'!$A$1:$O$1,0))="66.1: Salary and Benefit Expense",'Prior Year Data Table'!$AV41-'Prior Year Data Table'!$S41,0)</f>
        <v>169128680</v>
      </c>
      <c r="U41" s="47">
        <f>IFERROR(INDEX('Prior Year Data Pull'!$A$2:$CB$593,MATCH(C41,'Prior Year Data Pull'!$A$2:$A$593,0),MATCH("Total Expenses Including Nonrecurring Gains Losses",'Prior Year Data Pull'!$A$1:$CB$1,0)),"")</f>
        <v>351299000</v>
      </c>
      <c r="V41" s="266">
        <f t="shared" si="5"/>
        <v>11.01689837008629</v>
      </c>
      <c r="W41" s="266">
        <f t="shared" si="6"/>
        <v>36.134941167792675</v>
      </c>
      <c r="X41" s="266">
        <f t="shared" si="7"/>
        <v>49.186114622651374</v>
      </c>
      <c r="Y41" s="45">
        <f t="shared" si="8"/>
        <v>0.87750767052159551</v>
      </c>
      <c r="Z41" s="266">
        <f t="shared" si="9"/>
        <v>274.99107919345147</v>
      </c>
      <c r="AA41" s="265">
        <f t="shared" si="10"/>
        <v>0.88125328057495866</v>
      </c>
      <c r="AB41" s="45">
        <f t="shared" si="11"/>
        <v>0.77581627032290956</v>
      </c>
      <c r="AC41" s="45">
        <f t="shared" si="12"/>
        <v>0.1357306529784652</v>
      </c>
      <c r="AD41" s="47">
        <f>IFERROR(INDEX('Prior Year Data Pull'!$A$2:$CB$593,MATCH(C41,'Prior Year Data Pull'!$A$2:$A$593,0),MATCH("Net Patient Service Revenue",'Prior Year Data Pull'!$A$1:$CB$1,0)),"")</f>
        <v>366041000</v>
      </c>
      <c r="AE41" s="47">
        <f>IFERROR(INDEX('Prior Year Data Pull'!$A$2:$CB$593,MATCH(C41,'Prior Year Data Pull'!$A$2:$A$593,0),MATCH("Total Current Assets",'Prior Year Data Pull'!$A$1:$CB$1,0)),"")</f>
        <v>449479000</v>
      </c>
      <c r="AF41" s="47">
        <f>IFERROR(INDEX('Prior Year Data Pull'!$A$2:$CB$593,MATCH(C41,'Prior Year Data Pull'!$A$2:$A$593,0),MATCH("Total Current Liabilities",'Prior Year Data Pull'!$A$1:$CB$1,0)),"")</f>
        <v>52486000</v>
      </c>
      <c r="AG41" s="47">
        <f>IFERROR(INDEX('Prior Year Data Pull'!$A$2:$CB$593,MATCH(C41,'Prior Year Data Pull'!$A$2:$A$593,0),MATCH("Total Non Operating Revenue",'Prior Year Data Pull'!$A$1:$CB$1,0)),"")</f>
        <v>20389000</v>
      </c>
      <c r="AH41" s="47">
        <f>IFERROR(INDEX('Prior Year Data Pull'!$A$2:$CB$593,MATCH(C41,'Prior Year Data Pull'!$A$2:$A$593,0),MATCH("Less Accumulated Depreciation",'Prior Year Data Pull'!$A$1:$CB$1,0)),"")</f>
        <v>183850000</v>
      </c>
      <c r="AI41" s="47">
        <f>IFERROR(INDEX('Prior Year Data Pull'!$A$2:$CB$593,MATCH(C41,'Prior Year Data Pull'!$A$2:$A$593,0),MATCH("Depreciation and Amortization Expense",'Prior Year Data Pull'!$A$1:$CB$1,0)),"")</f>
        <v>16688000</v>
      </c>
      <c r="AJ41" s="47">
        <f>IFERROR(INDEX('Prior Year Data Pull'!$A$2:$CB$593,MATCH(C41,'Prior Year Data Pull'!$A$2:$A$593,0),MATCH("Net Patient Accounts Receivable",'Prior Year Data Pull'!$A$1:$CB$1,0)),"")</f>
        <v>36238000</v>
      </c>
      <c r="AK41" s="46">
        <v>365</v>
      </c>
      <c r="AL41" s="47">
        <f>IFERROR(INDEX('Prior Year Data Pull'!$A$2:$CB$593,MATCH(C41,'Prior Year Data Pull'!$A$2:$A$593,0),MATCH("Estimated Third Party Settlements",'Prior Year Data Pull'!$A$1:$CB$1,0)),"")</f>
        <v>7395000</v>
      </c>
      <c r="AM41" s="47">
        <f>IFERROR(INDEX('Prior Year Data Pull'!$A$2:$CB$593,MATCH(C41,'Prior Year Data Pull'!$A$2:$A$593,0),MATCH("Current Liabilities due to Affiliates",'Prior Year Data Pull'!$A$1:$CB$1,0)),"")</f>
        <v>0</v>
      </c>
      <c r="AN41" s="47">
        <f>IFERROR(INDEX('Prior Year Data Pull'!$A$2:$CB$593,MATCH(C41,'Prior Year Data Pull'!$A$2:$A$593,0),MATCH("Short Term Investments",'Prior Year Data Pull'!$A$1:$CB$1,0)),"")</f>
        <v>251228000</v>
      </c>
      <c r="AO41" s="47">
        <f>IFERROR(INDEX('Prior Year Data Pull'!$A$2:$CB$593,MATCH(C41,'Prior Year Data Pull'!$A$2:$A$593,0),MATCH("Cash and Cash Equivalents",'Prior Year Data Pull'!$A$1:$CB$1,0)),"")</f>
        <v>868000</v>
      </c>
      <c r="AP41" s="47">
        <f>IFERROR(INDEX('Prior Year Data Pull'!$A$2:$CB$593,MATCH(C41,'Prior Year Data Pull'!$A$2:$A$593,0),MATCH("Interest Expense",'Prior Year Data Pull'!$A$1:$CB$1,0)),"")</f>
        <v>2272000</v>
      </c>
      <c r="AQ41" s="47">
        <f>IFERROR(INDEX('Prior Year Data Pull'!$A$2:$CB$593,MATCH(C41,'Prior Year Data Pull'!$A$2:$A$593,0),MATCH("Long Term Debt Net of Current Portion",'Prior Year Data Pull'!$A$1:$CB$1,0)),"")</f>
        <v>72029000</v>
      </c>
      <c r="AR41" s="47">
        <f>IFERROR(INDEX('Prior Year Data Pull'!$A$2:$CB$593,MATCH(C41,'Prior Year Data Pull'!$A$2:$A$593,0),MATCH("Total Assets",'Prior Year Data Pull'!$A$1:$CB$1,0)),"")</f>
        <v>633583000</v>
      </c>
      <c r="AS41" s="47">
        <f>IFERROR(INDEX('Prior Year Data Pull'!$A$2:$CB$593,MATCH(C41,'Prior Year Data Pull'!$A$2:$A$593,0),MATCH("Long Term Debt Net of Current Portion",'Prior Year Data Pull'!$A$1:$CB$1,0)),"")</f>
        <v>72029000</v>
      </c>
      <c r="AT41" s="47">
        <f>IFERROR(INDEX('Prior Year Data Pull'!$A$2:$CB$593,MATCH(C41,'Prior Year Data Pull'!$A$2:$A$593,0),MATCH("Net Unrestricted Assets",'Prior Year Data Pull'!$A$1:$CB$1,0)),"")</f>
        <v>458647000</v>
      </c>
      <c r="AU41" s="47">
        <f>IFERROR(INDEX('Prior Year Data Pull'!$A$2:$CB$593,MATCH(C41,'Prior Year Data Pull'!$A$2:$A$593,0),MATCH("Unrealized Gains/Losses",'Prior Year Data Pull'!$A$1:$CB$1,0)),"")</f>
        <v>18759000</v>
      </c>
      <c r="AV41" s="47">
        <f>IFERROR(INDEX('Prior Year Data Pull'!$A$2:$CB$593,MATCH(C41,'Prior Year Data Pull'!$A$2:$A$593,0),MATCH("Salary and Benefit Expense",'Prior Year Data Pull'!$A$1:$CB$1,0)),"")</f>
        <v>169516000</v>
      </c>
    </row>
    <row r="42" spans="1:48" ht="34.200000000000003" x14ac:dyDescent="0.3">
      <c r="A42" s="14" t="str">
        <f>IFERROR(INDEX('Static Data Tab'!$N$2:$N$610,MATCH(D42,'Static Data Tab'!$D$2:$D$610,0)), "")</f>
        <v>Mass General Brigham</v>
      </c>
      <c r="B42" s="14" t="s">
        <v>150</v>
      </c>
      <c r="C42" s="14">
        <v>345</v>
      </c>
      <c r="D42" s="14">
        <v>3791</v>
      </c>
      <c r="E42" s="14" t="str">
        <f>IFERROR(INDEX('Prior Year Data Pull'!$A$1:$CB$593,MATCH(C42,'Prior Year Data Pull'!$A$1:$A$593,0),MATCH("Organization Type",'Prior Year Data Pull'!$A$1:$CB$1,0)),"")</f>
        <v>AcuteHospital</v>
      </c>
      <c r="F42" s="14" t="str">
        <f>IFERROR(INDEX('Static Data Tab'!$E$2:$E$610,MATCH(C42,'Static Data Tab'!$B$2:$B$610,0)), "-")</f>
        <v>Community-High Public Payer Hospital</v>
      </c>
      <c r="G42" s="14" t="str">
        <f>IFERROR(INDEX('Static Data Tab'!$J$2:$J$610,MATCH(C42,'Static Data Tab'!$B$2:$B$610,0)), "")</f>
        <v>Northeastern Massachusetts</v>
      </c>
      <c r="H42" s="14" t="str">
        <f>IFERROR(INDEX('Static Data Tab'!$F$2:$F$610,MATCH(C42,'Static Data Tab'!$B$2:$B$610,0)), "")</f>
        <v>x</v>
      </c>
      <c r="I42" s="14">
        <f>IFERROR(INDEX('Static Data Tab'!$G$2:$G$610,MATCH(C42,'Static Data Tab'!$B$2:$B$610,0)), "")</f>
        <v>0</v>
      </c>
      <c r="J42" s="14" t="str">
        <f>IFERROR(INDEX('Prior Year Data Pull'!$A$2:$CB$593,MATCH(C42,'Prior Year Data Pull'!$A$2:$A$593,0),MATCH("Quarter Range",'Prior Year Data Pull'!$A$1:$CB$1,0)),"")</f>
        <v xml:space="preserve">10/01/2024-09/30/2025
</v>
      </c>
      <c r="K42" s="37">
        <f t="shared" si="0"/>
        <v>2.0948241891196047E-2</v>
      </c>
      <c r="L42" s="37">
        <f t="shared" si="1"/>
        <v>-3.0505192681271726E-3</v>
      </c>
      <c r="M42" s="37">
        <f t="shared" si="2"/>
        <v>1.7897722623068876E-2</v>
      </c>
      <c r="N42" s="38">
        <f t="shared" si="3"/>
        <v>14216000</v>
      </c>
      <c r="O42" s="39">
        <f t="shared" si="4"/>
        <v>1.1584156104847934</v>
      </c>
      <c r="P42" s="38">
        <f>IFERROR(INDEX('Prior Year Data Pull'!$A$2:$CB$593,MATCH('Prior Year Data Table'!$C42,'Prior Year Data Pull'!$A$2:$A$593,0),MATCH("Total Net Assets or Equity",'Prior Year Data Pull'!$A$1:$CB$1,0)),"")</f>
        <v>323446000</v>
      </c>
      <c r="Q42" s="38">
        <f>IFERROR(INDEX('Prior Year Data Pull'!$A$2:$CB$593,MATCH('Prior Year Data Table'!$C42,'Prior Year Data Pull'!$A$2:$A$593,0),MATCH("Total Operating Revenue",'Prior Year Data Pull'!$A$1:$CB$1,0)),"")</f>
        <v>796714000</v>
      </c>
      <c r="R42" s="38">
        <f>IFERROR(INDEX('Prior Year Data Pull'!$A$2:$CB$593,MATCH('Prior Year Data Table'!$C42,'Prior Year Data Pull'!$A$2:$A$593,0),MATCH("Total Unrestricted Revenue Gains and Other Support",'Prior Year Data Pull'!$A$1:$CB$1,0)),"")</f>
        <v>794291000</v>
      </c>
      <c r="S42" s="38">
        <f>IFERROR(INDEX('Prior Year TS Data Pull'!$K$2:$K$607,MATCH(C42,'Prior Year TS Data Pull'!$A$2:$A$607,0))+INDEX('Prior Year TS Data Pull'!$O$2:$O$119,MATCH(C42,'Prior Year TS Data Pull'!$A$2:$A$607,0))+INDEX('Prior Year TS Data Pull'!$S$2:$S$119,MATCH(C42,'Prior Year TS Data Pull'!$A$2:$A$607,0)),"")</f>
        <v>5771754.9737499999</v>
      </c>
      <c r="T42" s="38">
        <f>IF(INDEX('Prior Year TS Data Pull'!$A$1:$O$607,MATCH(C42,'Prior Year TS Data Pull'!$A$1:$A$607,0),MATCH("Temporary RN Staffing:
Line Reported on in Standardized Financials",'Prior Year TS Data Pull'!$A$1:$O$1,0))="66.1: Salary and Benefit Expense",'Prior Year Data Table'!$AV42-'Prior Year Data Table'!$S42,0)</f>
        <v>0</v>
      </c>
      <c r="U42" s="38">
        <f>IFERROR(INDEX('Prior Year Data Pull'!$A$2:$CB$593,MATCH(C42,'Prior Year Data Pull'!$A$2:$A$593,0),MATCH("Total Expenses Including Nonrecurring Gains Losses",'Prior Year Data Pull'!$A$1:$CB$1,0)),"")</f>
        <v>780075000</v>
      </c>
      <c r="V42" s="41">
        <f t="shared" si="5"/>
        <v>9.3355008097364678</v>
      </c>
      <c r="W42" s="41">
        <f t="shared" si="6"/>
        <v>35.107395446707777</v>
      </c>
      <c r="X42" s="41">
        <f t="shared" si="7"/>
        <v>83.214970222677294</v>
      </c>
      <c r="Y42" s="37">
        <f t="shared" si="8"/>
        <v>0.18208299787747934</v>
      </c>
      <c r="Z42" s="41">
        <f t="shared" si="9"/>
        <v>24.977080320997239</v>
      </c>
      <c r="AA42" s="39">
        <f t="shared" si="10"/>
        <v>0.30539254435329777</v>
      </c>
      <c r="AB42" s="37">
        <f t="shared" si="11"/>
        <v>0.46268836062243762</v>
      </c>
      <c r="AC42" s="37">
        <f t="shared" si="12"/>
        <v>0.40985952513069129</v>
      </c>
      <c r="AD42" s="38">
        <f>IFERROR(INDEX('Prior Year Data Pull'!$A$2:$CB$593,MATCH(C42,'Prior Year Data Pull'!$A$2:$A$593,0),MATCH("Net Patient Service Revenue",'Prior Year Data Pull'!$A$1:$CB$1,0)),"")</f>
        <v>684340000</v>
      </c>
      <c r="AE42" s="38">
        <f>IFERROR(INDEX('Prior Year Data Pull'!$A$2:$CB$593,MATCH(C42,'Prior Year Data Pull'!$A$2:$A$593,0),MATCH("Total Current Assets",'Prior Year Data Pull'!$A$1:$CB$1,0)),"")</f>
        <v>198520000</v>
      </c>
      <c r="AF42" s="38">
        <f>IFERROR(INDEX('Prior Year Data Pull'!$A$2:$CB$593,MATCH(C42,'Prior Year Data Pull'!$A$2:$A$593,0),MATCH("Total Current Liabilities",'Prior Year Data Pull'!$A$1:$CB$1,0)),"")</f>
        <v>171372000</v>
      </c>
      <c r="AG42" s="38">
        <f>IFERROR(INDEX('Prior Year Data Pull'!$A$2:$CB$593,MATCH(C42,'Prior Year Data Pull'!$A$2:$A$593,0),MATCH("Total Non Operating Revenue",'Prior Year Data Pull'!$A$1:$CB$1,0)),"")</f>
        <v>-2423000</v>
      </c>
      <c r="AH42" s="38">
        <f>IFERROR(INDEX('Prior Year Data Pull'!$A$2:$CB$593,MATCH(C42,'Prior Year Data Pull'!$A$2:$A$593,0),MATCH("Less Accumulated Depreciation",'Prior Year Data Pull'!$A$1:$CB$1,0)),"")</f>
        <v>380459000</v>
      </c>
      <c r="AI42" s="38">
        <f>IFERROR(INDEX('Prior Year Data Pull'!$A$2:$CB$593,MATCH(C42,'Prior Year Data Pull'!$A$2:$A$593,0),MATCH("Depreciation and Amortization Expense",'Prior Year Data Pull'!$A$1:$CB$1,0)),"")</f>
        <v>40754000</v>
      </c>
      <c r="AJ42" s="38">
        <f>IFERROR(INDEX('Prior Year Data Pull'!$A$2:$CB$593,MATCH(C42,'Prior Year Data Pull'!$A$2:$A$593,0),MATCH("Net Patient Accounts Receivable",'Prior Year Data Pull'!$A$1:$CB$1,0)),"")</f>
        <v>65823000</v>
      </c>
      <c r="AK42" s="14">
        <v>365</v>
      </c>
      <c r="AL42" s="38">
        <f>IFERROR(INDEX('Prior Year Data Pull'!$A$2:$CB$593,MATCH(C42,'Prior Year Data Pull'!$A$2:$A$593,0),MATCH("Estimated Third Party Settlements",'Prior Year Data Pull'!$A$1:$CB$1,0)),"")</f>
        <v>2817000</v>
      </c>
      <c r="AM42" s="38">
        <f>IFERROR(INDEX('Prior Year Data Pull'!$A$2:$CB$593,MATCH(C42,'Prior Year Data Pull'!$A$2:$A$593,0),MATCH("Current Liabilities due to Affiliates",'Prior Year Data Pull'!$A$1:$CB$1,0)),"")</f>
        <v>90818000</v>
      </c>
      <c r="AN42" s="38">
        <f>IFERROR(INDEX('Prior Year Data Pull'!$A$2:$CB$593,MATCH(C42,'Prior Year Data Pull'!$A$2:$A$593,0),MATCH("Short Term Investments",'Prior Year Data Pull'!$A$1:$CB$1,0)),"")</f>
        <v>7854000</v>
      </c>
      <c r="AO42" s="38">
        <f>IFERROR(INDEX('Prior Year Data Pull'!$A$2:$CB$593,MATCH(C42,'Prior Year Data Pull'!$A$2:$A$593,0),MATCH("Cash and Cash Equivalents",'Prior Year Data Pull'!$A$1:$CB$1,0)),"")</f>
        <v>42738000</v>
      </c>
      <c r="AP42" s="38">
        <f>IFERROR(INDEX('Prior Year Data Pull'!$A$2:$CB$593,MATCH(C42,'Prior Year Data Pull'!$A$2:$A$593,0),MATCH("Interest Expense",'Prior Year Data Pull'!$A$1:$CB$1,0)),"")</f>
        <v>8581000</v>
      </c>
      <c r="AQ42" s="38">
        <f>IFERROR(INDEX('Prior Year Data Pull'!$A$2:$CB$593,MATCH(C42,'Prior Year Data Pull'!$A$2:$A$593,0),MATCH("Long Term Debt Net of Current Portion",'Prior Year Data Pull'!$A$1:$CB$1,0)),"")</f>
        <v>182442000</v>
      </c>
      <c r="AR42" s="38">
        <f>IFERROR(INDEX('Prior Year Data Pull'!$A$2:$CB$593,MATCH(C42,'Prior Year Data Pull'!$A$2:$A$593,0),MATCH("Total Assets",'Prior Year Data Pull'!$A$1:$CB$1,0)),"")</f>
        <v>699058000</v>
      </c>
      <c r="AS42" s="38">
        <f>IFERROR(INDEX('Prior Year Data Pull'!$A$2:$CB$593,MATCH(C42,'Prior Year Data Pull'!$A$2:$A$593,0),MATCH("Long Term Debt Net of Current Portion",'Prior Year Data Pull'!$A$1:$CB$1,0)),"")</f>
        <v>182442000</v>
      </c>
      <c r="AT42" s="38">
        <f>IFERROR(INDEX('Prior Year Data Pull'!$A$2:$CB$593,MATCH(C42,'Prior Year Data Pull'!$A$2:$A$593,0),MATCH("Net Unrestricted Assets",'Prior Year Data Pull'!$A$1:$CB$1,0)),"")</f>
        <v>262691000</v>
      </c>
      <c r="AU42" s="38">
        <f>IFERROR(INDEX('Prior Year Data Pull'!$A$2:$CB$593,MATCH(C42,'Prior Year Data Pull'!$A$2:$A$593,0),MATCH("Unrealized Gains/Losses",'Prior Year Data Pull'!$A$1:$CB$1,0)),"")</f>
        <v>5214000</v>
      </c>
      <c r="AV42" s="38">
        <f>IFERROR(INDEX('Prior Year Data Pull'!$A$2:$CB$593,MATCH(C42,'Prior Year Data Pull'!$A$2:$A$593,0),MATCH("Salary and Benefit Expense",'Prior Year Data Pull'!$A$1:$CB$1,0)),"")</f>
        <v>366697000</v>
      </c>
    </row>
    <row r="43" spans="1:48" ht="34.200000000000003" x14ac:dyDescent="0.3">
      <c r="A43" s="46" t="str">
        <f>IFERROR(INDEX('Static Data Tab'!$N$2:$N$610,MATCH(D43,'Static Data Tab'!$D$2:$D$610,0)), "")</f>
        <v xml:space="preserve">Baystate Health </v>
      </c>
      <c r="B43" s="46" t="s">
        <v>73</v>
      </c>
      <c r="C43" s="46">
        <v>4066</v>
      </c>
      <c r="D43" s="46">
        <v>4066</v>
      </c>
      <c r="E43" s="46" t="str">
        <f>IFERROR(INDEX('Prior Year Data Pull'!$A$1:$CB$593,MATCH(C43,'Prior Year Data Pull'!$A$1:$A$593,0),MATCH("Organization Type",'Prior Year Data Pull'!$A$1:$CB$1,0)),"")</f>
        <v>HHS</v>
      </c>
      <c r="F43" s="46" t="str">
        <f>IFERROR(INDEX('Static Data Tab'!$E$2:$E$610,MATCH(C43,'Static Data Tab'!$B$2:$B$610,0)), "-")</f>
        <v>-</v>
      </c>
      <c r="G43" s="46" t="str">
        <f>IFERROR(INDEX('Static Data Tab'!$J$2:$J$610,MATCH(C43,'Static Data Tab'!$B$2:$B$610,0)), "")</f>
        <v/>
      </c>
      <c r="H43" s="46" t="str">
        <f>IFERROR(INDEX('Static Data Tab'!$F$2:$F$610,MATCH(C43,'Static Data Tab'!$B$2:$B$610,0)), "")</f>
        <v/>
      </c>
      <c r="I43" s="46" t="str">
        <f>IFERROR(INDEX('Static Data Tab'!$G$2:$G$610,MATCH(C43,'Static Data Tab'!$B$2:$B$610,0)), "")</f>
        <v/>
      </c>
      <c r="J43" s="46" t="str">
        <f>IFERROR(INDEX('Prior Year Data Pull'!$A$2:$CB$593,MATCH(C43,'Prior Year Data Pull'!$A$2:$A$593,0),MATCH("Quarter Range",'Prior Year Data Pull'!$A$1:$CB$1,0)),"")</f>
        <v xml:space="preserve">10/01/2024-09/30/2025
</v>
      </c>
      <c r="K43" s="45">
        <f t="shared" si="0"/>
        <v>4.6896082791222692E-3</v>
      </c>
      <c r="L43" s="45">
        <f t="shared" si="1"/>
        <v>1.6393113161886248E-2</v>
      </c>
      <c r="M43" s="45">
        <f t="shared" si="2"/>
        <v>2.108272144100852E-2</v>
      </c>
      <c r="N43" s="47">
        <f t="shared" si="3"/>
        <v>75531000</v>
      </c>
      <c r="O43" s="265">
        <f t="shared" si="4"/>
        <v>1.7438026888441713</v>
      </c>
      <c r="P43" s="47">
        <f>IFERROR(INDEX('Prior Year Data Pull'!$A$2:$CB$593,MATCH('Prior Year Data Table'!$C43,'Prior Year Data Pull'!$A$2:$A$593,0),MATCH("Total Net Assets or Equity",'Prior Year Data Pull'!$A$1:$CB$1,0)),"")</f>
        <v>1296233000</v>
      </c>
      <c r="Q43" s="47">
        <f>IFERROR(INDEX('Prior Year Data Pull'!$A$2:$CB$593,MATCH('Prior Year Data Table'!$C43,'Prior Year Data Pull'!$A$2:$A$593,0),MATCH("Total Operating Revenue",'Prior Year Data Pull'!$A$1:$CB$1,0)),"")</f>
        <v>3523872000</v>
      </c>
      <c r="R43" s="47">
        <f>IFERROR(INDEX('Prior Year Data Pull'!$A$2:$CB$593,MATCH('Prior Year Data Table'!$C43,'Prior Year Data Pull'!$A$2:$A$593,0),MATCH("Total Unrestricted Revenue Gains and Other Support",'Prior Year Data Pull'!$A$1:$CB$1,0)),"")</f>
        <v>3582602000</v>
      </c>
      <c r="S43" s="47">
        <f>IFERROR(INDEX('Prior Year TS Data Pull'!$K$2:$K$607,MATCH(C43,'Prior Year TS Data Pull'!$A$2:$A$607,0))+INDEX('Prior Year TS Data Pull'!$O$2:$O$119,MATCH(C43,'Prior Year TS Data Pull'!$A$2:$A$607,0))+INDEX('Prior Year TS Data Pull'!$S$2:$S$119,MATCH(C43,'Prior Year TS Data Pull'!$A$2:$A$607,0)),"")</f>
        <v>6320802.6099999994</v>
      </c>
      <c r="T43" s="47">
        <f>IF(INDEX('Prior Year TS Data Pull'!$A$1:$O$607,MATCH(C43,'Prior Year TS Data Pull'!$A$1:$A$607,0),MATCH("Temporary RN Staffing:
Line Reported on in Standardized Financials",'Prior Year TS Data Pull'!$A$1:$O$1,0))="66.1: Salary and Benefit Expense",'Prior Year Data Table'!$AV43-'Prior Year Data Table'!$S43,0)</f>
        <v>0</v>
      </c>
      <c r="U43" s="47">
        <f>IFERROR(INDEX('Prior Year Data Pull'!$A$2:$CB$593,MATCH(C43,'Prior Year Data Pull'!$A$2:$A$593,0),MATCH("Total Expenses Including Nonrecurring Gains Losses",'Prior Year Data Pull'!$A$1:$CB$1,0)),"")</f>
        <v>3507071000</v>
      </c>
      <c r="V43" s="266">
        <f t="shared" si="5"/>
        <v>18.616949691690319</v>
      </c>
      <c r="W43" s="266">
        <f t="shared" si="6"/>
        <v>40.41975206302908</v>
      </c>
      <c r="X43" s="266">
        <f t="shared" si="7"/>
        <v>60.117026509815823</v>
      </c>
      <c r="Y43" s="45">
        <f t="shared" si="8"/>
        <v>0.19102817738162695</v>
      </c>
      <c r="Z43" s="266">
        <f t="shared" si="9"/>
        <v>58.290606612199973</v>
      </c>
      <c r="AA43" s="265">
        <f t="shared" si="10"/>
        <v>0.22060290306249669</v>
      </c>
      <c r="AB43" s="45">
        <f t="shared" si="11"/>
        <v>0.47794052037482088</v>
      </c>
      <c r="AC43" s="45">
        <f t="shared" si="12"/>
        <v>0.31033360227910245</v>
      </c>
      <c r="AD43" s="47">
        <f>IFERROR(INDEX('Prior Year Data Pull'!$A$2:$CB$593,MATCH(C43,'Prior Year Data Pull'!$A$2:$A$593,0),MATCH("Net Patient Service Revenue",'Prior Year Data Pull'!$A$1:$CB$1,0)),"")</f>
        <v>2195558000</v>
      </c>
      <c r="AE43" s="47">
        <f>IFERROR(INDEX('Prior Year Data Pull'!$A$2:$CB$593,MATCH(C43,'Prior Year Data Pull'!$A$2:$A$593,0),MATCH("Total Current Assets",'Prior Year Data Pull'!$A$1:$CB$1,0)),"")</f>
        <v>1043359000</v>
      </c>
      <c r="AF43" s="47">
        <f>IFERROR(INDEX('Prior Year Data Pull'!$A$2:$CB$593,MATCH(C43,'Prior Year Data Pull'!$A$2:$A$593,0),MATCH("Total Current Liabilities",'Prior Year Data Pull'!$A$1:$CB$1,0)),"")</f>
        <v>598324000</v>
      </c>
      <c r="AG43" s="47">
        <f>IFERROR(INDEX('Prior Year Data Pull'!$A$2:$CB$593,MATCH(C43,'Prior Year Data Pull'!$A$2:$A$593,0),MATCH("Total Non Operating Revenue",'Prior Year Data Pull'!$A$1:$CB$1,0)),"")</f>
        <v>58730000</v>
      </c>
      <c r="AH43" s="47">
        <f>IFERROR(INDEX('Prior Year Data Pull'!$A$2:$CB$593,MATCH(C43,'Prior Year Data Pull'!$A$2:$A$593,0),MATCH("Less Accumulated Depreciation",'Prior Year Data Pull'!$A$1:$CB$1,0)),"")</f>
        <v>1521675000</v>
      </c>
      <c r="AI43" s="47">
        <f>IFERROR(INDEX('Prior Year Data Pull'!$A$2:$CB$593,MATCH(C43,'Prior Year Data Pull'!$A$2:$A$593,0),MATCH("Depreciation and Amortization Expense",'Prior Year Data Pull'!$A$1:$CB$1,0)),"")</f>
        <v>81736000</v>
      </c>
      <c r="AJ43" s="47">
        <f>IFERROR(INDEX('Prior Year Data Pull'!$A$2:$CB$593,MATCH(C43,'Prior Year Data Pull'!$A$2:$A$593,0),MATCH("Net Patient Accounts Receivable",'Prior Year Data Pull'!$A$1:$CB$1,0)),"")</f>
        <v>243134000</v>
      </c>
      <c r="AK43" s="46">
        <v>365</v>
      </c>
      <c r="AL43" s="47">
        <f>IFERROR(INDEX('Prior Year Data Pull'!$A$2:$CB$593,MATCH(C43,'Prior Year Data Pull'!$A$2:$A$593,0),MATCH("Estimated Third Party Settlements",'Prior Year Data Pull'!$A$1:$CB$1,0)),"")</f>
        <v>34157000</v>
      </c>
      <c r="AM43" s="47">
        <f>IFERROR(INDEX('Prior Year Data Pull'!$A$2:$CB$593,MATCH(C43,'Prior Year Data Pull'!$A$2:$A$593,0),MATCH("Current Liabilities due to Affiliates",'Prior Year Data Pull'!$A$1:$CB$1,0)),"")</f>
        <v>0</v>
      </c>
      <c r="AN43" s="47">
        <f>IFERROR(INDEX('Prior Year Data Pull'!$A$2:$CB$593,MATCH(C43,'Prior Year Data Pull'!$A$2:$A$593,0),MATCH("Short Term Investments",'Prior Year Data Pull'!$A$1:$CB$1,0)),"")</f>
        <v>279545000</v>
      </c>
      <c r="AO43" s="47">
        <f>IFERROR(INDEX('Prior Year Data Pull'!$A$2:$CB$593,MATCH(C43,'Prior Year Data Pull'!$A$2:$A$593,0),MATCH("Cash and Cash Equivalents",'Prior Year Data Pull'!$A$1:$CB$1,0)),"")</f>
        <v>267482000</v>
      </c>
      <c r="AP43" s="47">
        <f>IFERROR(INDEX('Prior Year Data Pull'!$A$2:$CB$593,MATCH(C43,'Prior Year Data Pull'!$A$2:$A$593,0),MATCH("Interest Expense",'Prior Year Data Pull'!$A$1:$CB$1,0)),"")</f>
        <v>19353000</v>
      </c>
      <c r="AQ43" s="47">
        <f>IFERROR(INDEX('Prior Year Data Pull'!$A$2:$CB$593,MATCH(C43,'Prior Year Data Pull'!$A$2:$A$593,0),MATCH("Long Term Debt Net of Current Portion",'Prior Year Data Pull'!$A$1:$CB$1,0)),"")</f>
        <v>510019000</v>
      </c>
      <c r="AR43" s="47">
        <f>IFERROR(INDEX('Prior Year Data Pull'!$A$2:$CB$593,MATCH(C43,'Prior Year Data Pull'!$A$2:$A$593,0),MATCH("Total Assets",'Prior Year Data Pull'!$A$1:$CB$1,0)),"")</f>
        <v>2712122000</v>
      </c>
      <c r="AS43" s="47">
        <f>IFERROR(INDEX('Prior Year Data Pull'!$A$2:$CB$593,MATCH(C43,'Prior Year Data Pull'!$A$2:$A$593,0),MATCH("Long Term Debt Net of Current Portion",'Prior Year Data Pull'!$A$1:$CB$1,0)),"")</f>
        <v>510019000</v>
      </c>
      <c r="AT43" s="47">
        <f>IFERROR(INDEX('Prior Year Data Pull'!$A$2:$CB$593,MATCH(C43,'Prior Year Data Pull'!$A$2:$A$593,0),MATCH("Net Unrestricted Assets",'Prior Year Data Pull'!$A$1:$CB$1,0)),"")</f>
        <v>1133435000</v>
      </c>
      <c r="AU43" s="47">
        <f>IFERROR(INDEX('Prior Year Data Pull'!$A$2:$CB$593,MATCH(C43,'Prior Year Data Pull'!$A$2:$A$593,0),MATCH("Unrealized Gains/Losses",'Prior Year Data Pull'!$A$1:$CB$1,0)),"")</f>
        <v>59839000</v>
      </c>
      <c r="AV43" s="47">
        <f>IFERROR(INDEX('Prior Year Data Pull'!$A$2:$CB$593,MATCH(C43,'Prior Year Data Pull'!$A$2:$A$593,0),MATCH("Salary and Benefit Expense",'Prior Year Data Pull'!$A$1:$CB$1,0)),"")</f>
        <v>1394595000</v>
      </c>
    </row>
    <row r="44" spans="1:48" ht="34.200000000000003" x14ac:dyDescent="0.3">
      <c r="A44" s="14" t="str">
        <f>IFERROR(INDEX('Static Data Tab'!$N$2:$N$610,MATCH(D44,'Static Data Tab'!$D$2:$D$610,0)), "")</f>
        <v>Boston Medical Center Health System</v>
      </c>
      <c r="B44" s="14" t="s">
        <v>118</v>
      </c>
      <c r="C44" s="14">
        <v>3107</v>
      </c>
      <c r="D44" s="14">
        <v>14287</v>
      </c>
      <c r="E44" s="14" t="str">
        <f>IFERROR(INDEX('Prior Year Data Pull'!$A$1:$CB$593,MATCH(C44,'Prior Year Data Pull'!$A$1:$A$593,0),MATCH("Organization Type",'Prior Year Data Pull'!$A$1:$CB$1,0)),"")</f>
        <v>AcuteHospital</v>
      </c>
      <c r="F44" s="14" t="str">
        <f>IFERROR(INDEX('Static Data Tab'!$E$2:$E$610,MATCH(C44,'Static Data Tab'!$B$2:$B$610,0)), "-")</f>
        <v>Academic Medical Center</v>
      </c>
      <c r="G44" s="14" t="str">
        <f>IFERROR(INDEX('Static Data Tab'!$J$2:$J$610,MATCH(C44,'Static Data Tab'!$B$2:$B$610,0)), "")</f>
        <v>Metro Boston</v>
      </c>
      <c r="H44" s="14" t="str">
        <f>IFERROR(INDEX('Static Data Tab'!$F$2:$F$610,MATCH(C44,'Static Data Tab'!$B$2:$B$610,0)), "")</f>
        <v>x</v>
      </c>
      <c r="I44" s="14" t="str">
        <f>IFERROR(INDEX('Static Data Tab'!$G$2:$G$610,MATCH(C44,'Static Data Tab'!$B$2:$B$610,0)), "")</f>
        <v>x</v>
      </c>
      <c r="J44" s="14" t="str">
        <f>IFERROR(INDEX('Prior Year Data Pull'!$A$2:$CB$593,MATCH(C44,'Prior Year Data Pull'!$A$2:$A$593,0),MATCH("Quarter Range",'Prior Year Data Pull'!$A$1:$CB$1,0)),"")</f>
        <v xml:space="preserve">10/01/2024-09/30/2025
</v>
      </c>
      <c r="K44" s="37">
        <f t="shared" si="0"/>
        <v>-1.2775650438085269E-2</v>
      </c>
      <c r="L44" s="37">
        <f t="shared" si="1"/>
        <v>1.8922074694543777E-2</v>
      </c>
      <c r="M44" s="37">
        <f t="shared" si="2"/>
        <v>6.1464242564585091E-3</v>
      </c>
      <c r="N44" s="38">
        <f t="shared" si="3"/>
        <v>18504457</v>
      </c>
      <c r="O44" s="39">
        <f t="shared" si="4"/>
        <v>1.5646036043721656</v>
      </c>
      <c r="P44" s="38">
        <f>IFERROR(INDEX('Prior Year Data Pull'!$A$2:$CB$593,MATCH('Prior Year Data Table'!$C44,'Prior Year Data Pull'!$A$2:$A$593,0),MATCH("Total Net Assets or Equity",'Prior Year Data Pull'!$A$1:$CB$1,0)),"")</f>
        <v>1460019092</v>
      </c>
      <c r="Q44" s="38">
        <f>IFERROR(INDEX('Prior Year Data Pull'!$A$2:$CB$593,MATCH('Prior Year Data Table'!$C44,'Prior Year Data Pull'!$A$2:$A$593,0),MATCH("Total Operating Revenue",'Prior Year Data Pull'!$A$1:$CB$1,0)),"")</f>
        <v>2953638331</v>
      </c>
      <c r="R44" s="38">
        <f>IFERROR(INDEX('Prior Year Data Pull'!$A$2:$CB$593,MATCH('Prior Year Data Table'!$C44,'Prior Year Data Pull'!$A$2:$A$593,0),MATCH("Total Unrestricted Revenue Gains and Other Support",'Prior Year Data Pull'!$A$1:$CB$1,0)),"")</f>
        <v>3010605228</v>
      </c>
      <c r="S44" s="38">
        <f>IFERROR(INDEX('Prior Year TS Data Pull'!$K$2:$K$607,MATCH(C44,'Prior Year TS Data Pull'!$A$2:$A$607,0))+INDEX('Prior Year TS Data Pull'!$O$2:$O$119,MATCH(C44,'Prior Year TS Data Pull'!$A$2:$A$607,0))+INDEX('Prior Year TS Data Pull'!$S$2:$S$119,MATCH(C44,'Prior Year TS Data Pull'!$A$2:$A$607,0)),"")</f>
        <v>5684781.6100000003</v>
      </c>
      <c r="T44" s="38">
        <f>IF(INDEX('Prior Year TS Data Pull'!$A$1:$O$607,MATCH(C44,'Prior Year TS Data Pull'!$A$1:$A$607,0),MATCH("Temporary RN Staffing:
Line Reported on in Standardized Financials",'Prior Year TS Data Pull'!$A$1:$O$1,0))="66.1: Salary and Benefit Expense",'Prior Year Data Table'!$AV44-'Prior Year Data Table'!$S44,0)</f>
        <v>992951645.38999999</v>
      </c>
      <c r="U44" s="38">
        <f>IFERROR(INDEX('Prior Year Data Pull'!$A$2:$CB$593,MATCH(C44,'Prior Year Data Pull'!$A$2:$A$593,0),MATCH("Total Expenses Including Nonrecurring Gains Losses",'Prior Year Data Pull'!$A$1:$CB$1,0)),"")</f>
        <v>2992100771</v>
      </c>
      <c r="V44" s="41">
        <f t="shared" si="5"/>
        <v>11.576331331846704</v>
      </c>
      <c r="W44" s="41">
        <f t="shared" si="6"/>
        <v>39.941949959425749</v>
      </c>
      <c r="X44" s="41">
        <f t="shared" si="7"/>
        <v>76.902807293980473</v>
      </c>
      <c r="Y44" s="37">
        <f t="shared" si="8"/>
        <v>0.11454307170204192</v>
      </c>
      <c r="Z44" s="41">
        <f t="shared" si="9"/>
        <v>18.710842501836211</v>
      </c>
      <c r="AA44" s="39">
        <f t="shared" si="10"/>
        <v>0.16020763334675342</v>
      </c>
      <c r="AB44" s="37">
        <f t="shared" si="11"/>
        <v>0.46616038490104228</v>
      </c>
      <c r="AC44" s="37">
        <f t="shared" si="12"/>
        <v>0.45767611534015795</v>
      </c>
      <c r="AD44" s="38">
        <f>IFERROR(INDEX('Prior Year Data Pull'!$A$2:$CB$593,MATCH(C44,'Prior Year Data Pull'!$A$2:$A$593,0),MATCH("Net Patient Service Revenue",'Prior Year Data Pull'!$A$1:$CB$1,0)),"")</f>
        <v>1735839872</v>
      </c>
      <c r="AE44" s="38">
        <f>IFERROR(INDEX('Prior Year Data Pull'!$A$2:$CB$593,MATCH(C44,'Prior Year Data Pull'!$A$2:$A$593,0),MATCH("Total Current Assets",'Prior Year Data Pull'!$A$1:$CB$1,0)),"")</f>
        <v>949762005</v>
      </c>
      <c r="AF44" s="38">
        <f>IFERROR(INDEX('Prior Year Data Pull'!$A$2:$CB$593,MATCH(C44,'Prior Year Data Pull'!$A$2:$A$593,0),MATCH("Total Current Liabilities",'Prior Year Data Pull'!$A$1:$CB$1,0)),"")</f>
        <v>607030434</v>
      </c>
      <c r="AG44" s="38">
        <f>IFERROR(INDEX('Prior Year Data Pull'!$A$2:$CB$593,MATCH(C44,'Prior Year Data Pull'!$A$2:$A$593,0),MATCH("Total Non Operating Revenue",'Prior Year Data Pull'!$A$1:$CB$1,0)),"")</f>
        <v>56966897</v>
      </c>
      <c r="AH44" s="38">
        <f>IFERROR(INDEX('Prior Year Data Pull'!$A$2:$CB$593,MATCH(C44,'Prior Year Data Pull'!$A$2:$A$593,0),MATCH("Less Accumulated Depreciation",'Prior Year Data Pull'!$A$1:$CB$1,0)),"")</f>
        <v>1284766395</v>
      </c>
      <c r="AI44" s="38">
        <f>IFERROR(INDEX('Prior Year Data Pull'!$A$2:$CB$593,MATCH(C44,'Prior Year Data Pull'!$A$2:$A$593,0),MATCH("Depreciation and Amortization Expense",'Prior Year Data Pull'!$A$1:$CB$1,0)),"")</f>
        <v>110982172</v>
      </c>
      <c r="AJ44" s="38">
        <f>IFERROR(INDEX('Prior Year Data Pull'!$A$2:$CB$593,MATCH(C44,'Prior Year Data Pull'!$A$2:$A$593,0),MATCH("Net Patient Accounts Receivable",'Prior Year Data Pull'!$A$1:$CB$1,0)),"")</f>
        <v>189952957</v>
      </c>
      <c r="AK44" s="14">
        <v>365</v>
      </c>
      <c r="AL44" s="38">
        <f>IFERROR(INDEX('Prior Year Data Pull'!$A$2:$CB$593,MATCH(C44,'Prior Year Data Pull'!$A$2:$A$593,0),MATCH("Estimated Third Party Settlements",'Prior Year Data Pull'!$A$1:$CB$1,0)),"")</f>
        <v>0</v>
      </c>
      <c r="AM44" s="38">
        <f>IFERROR(INDEX('Prior Year Data Pull'!$A$2:$CB$593,MATCH(C44,'Prior Year Data Pull'!$A$2:$A$593,0),MATCH("Current Liabilities due to Affiliates",'Prior Year Data Pull'!$A$1:$CB$1,0)),"")</f>
        <v>147078377</v>
      </c>
      <c r="AN44" s="38">
        <f>IFERROR(INDEX('Prior Year Data Pull'!$A$2:$CB$593,MATCH(C44,'Prior Year Data Pull'!$A$2:$A$593,0),MATCH("Short Term Investments",'Prior Year Data Pull'!$A$1:$CB$1,0)),"")</f>
        <v>0</v>
      </c>
      <c r="AO44" s="38">
        <f>IFERROR(INDEX('Prior Year Data Pull'!$A$2:$CB$593,MATCH(C44,'Prior Year Data Pull'!$A$2:$A$593,0),MATCH("Cash and Cash Equivalents",'Prior Year Data Pull'!$A$1:$CB$1,0)),"")</f>
        <v>147693579</v>
      </c>
      <c r="AP44" s="38">
        <f>IFERROR(INDEX('Prior Year Data Pull'!$A$2:$CB$593,MATCH(C44,'Prior Year Data Pull'!$A$2:$A$593,0),MATCH("Interest Expense",'Prior Year Data Pull'!$A$1:$CB$1,0)),"")</f>
        <v>27053676</v>
      </c>
      <c r="AQ44" s="38">
        <f>IFERROR(INDEX('Prior Year Data Pull'!$A$2:$CB$593,MATCH(C44,'Prior Year Data Pull'!$A$2:$A$593,0),MATCH("Long Term Debt Net of Current Portion",'Prior Year Data Pull'!$A$1:$CB$1,0)),"")</f>
        <v>866454823</v>
      </c>
      <c r="AR44" s="38">
        <f>IFERROR(INDEX('Prior Year Data Pull'!$A$2:$CB$593,MATCH(C44,'Prior Year Data Pull'!$A$2:$A$593,0),MATCH("Total Assets",'Prior Year Data Pull'!$A$1:$CB$1,0)),"")</f>
        <v>3132010225</v>
      </c>
      <c r="AS44" s="38">
        <f>IFERROR(INDEX('Prior Year Data Pull'!$A$2:$CB$593,MATCH(C44,'Prior Year Data Pull'!$A$2:$A$593,0),MATCH("Long Term Debt Net of Current Portion",'Prior Year Data Pull'!$A$1:$CB$1,0)),"")</f>
        <v>866454823</v>
      </c>
      <c r="AT44" s="38">
        <f>IFERROR(INDEX('Prior Year Data Pull'!$A$2:$CB$593,MATCH(C44,'Prior Year Data Pull'!$A$2:$A$593,0),MATCH("Net Unrestricted Assets",'Prior Year Data Pull'!$A$1:$CB$1,0)),"")</f>
        <v>1026706725</v>
      </c>
      <c r="AU44" s="38">
        <f>IFERROR(INDEX('Prior Year Data Pull'!$A$2:$CB$593,MATCH(C44,'Prior Year Data Pull'!$A$2:$A$593,0),MATCH("Unrealized Gains/Losses",'Prior Year Data Pull'!$A$1:$CB$1,0)),"")</f>
        <v>13393423</v>
      </c>
      <c r="AV44" s="38">
        <f>IFERROR(INDEX('Prior Year Data Pull'!$A$2:$CB$593,MATCH(C44,'Prior Year Data Pull'!$A$2:$A$593,0),MATCH("Salary and Benefit Expense",'Prior Year Data Pull'!$A$1:$CB$1,0)),"")</f>
        <v>998636427</v>
      </c>
    </row>
    <row r="45" spans="1:48" ht="34.200000000000003" x14ac:dyDescent="0.3">
      <c r="A45" s="46" t="str">
        <f>IFERROR(INDEX('Static Data Tab'!$N$2:$N$610,MATCH(D45,'Static Data Tab'!$D$2:$D$610,0)), "")</f>
        <v>Cambridge Health Alliance</v>
      </c>
      <c r="B45" s="46" t="s">
        <v>121</v>
      </c>
      <c r="C45" s="46">
        <v>3108</v>
      </c>
      <c r="D45" s="46">
        <v>13159</v>
      </c>
      <c r="E45" s="46" t="str">
        <f>IFERROR(INDEX('Prior Year Data Pull'!$A$1:$CB$593,MATCH(C45,'Prior Year Data Pull'!$A$1:$A$593,0),MATCH("Organization Type",'Prior Year Data Pull'!$A$1:$CB$1,0)),"")</f>
        <v>AcuteHospital</v>
      </c>
      <c r="F45" s="46" t="str">
        <f>IFERROR(INDEX('Static Data Tab'!$E$2:$E$610,MATCH(C45,'Static Data Tab'!$B$2:$B$610,0)), "-")</f>
        <v>Teaching Hospital</v>
      </c>
      <c r="G45" s="46" t="str">
        <f>IFERROR(INDEX('Static Data Tab'!$J$2:$J$610,MATCH(C45,'Static Data Tab'!$B$2:$B$610,0)), "")</f>
        <v>Metro Boston</v>
      </c>
      <c r="H45" s="46" t="str">
        <f>IFERROR(INDEX('Static Data Tab'!$F$2:$F$610,MATCH(C45,'Static Data Tab'!$B$2:$B$610,0)), "")</f>
        <v>x</v>
      </c>
      <c r="I45" s="46" t="str">
        <f>IFERROR(INDEX('Static Data Tab'!$G$2:$G$610,MATCH(C45,'Static Data Tab'!$B$2:$B$610,0)), "")</f>
        <v>x</v>
      </c>
      <c r="J45" s="46" t="str">
        <f>IFERROR(INDEX('Prior Year Data Pull'!$A$2:$CB$593,MATCH(C45,'Prior Year Data Pull'!$A$2:$A$593,0),MATCH("Quarter Range",'Prior Year Data Pull'!$A$1:$CB$1,0)),"")</f>
        <v xml:space="preserve">07/01/2024-06/30/2025
</v>
      </c>
      <c r="K45" s="45">
        <f t="shared" si="0"/>
        <v>3.6625016206992398E-4</v>
      </c>
      <c r="L45" s="45">
        <f t="shared" si="1"/>
        <v>4.6220303799342846E-2</v>
      </c>
      <c r="M45" s="45">
        <f t="shared" si="2"/>
        <v>4.6586553961412772E-2</v>
      </c>
      <c r="N45" s="47">
        <f t="shared" si="3"/>
        <v>52870532</v>
      </c>
      <c r="O45" s="265">
        <f t="shared" si="4"/>
        <v>2.5462542815337557</v>
      </c>
      <c r="P45" s="47">
        <f>IFERROR(INDEX('Prior Year Data Pull'!$A$2:$CB$593,MATCH('Prior Year Data Table'!$C45,'Prior Year Data Pull'!$A$2:$A$593,0),MATCH("Total Net Assets or Equity",'Prior Year Data Pull'!$A$1:$CB$1,0)),"")</f>
        <v>326240571</v>
      </c>
      <c r="Q45" s="47">
        <f>IFERROR(INDEX('Prior Year Data Pull'!$A$2:$CB$593,MATCH('Prior Year Data Table'!$C45,'Prior Year Data Pull'!$A$2:$A$593,0),MATCH("Total Operating Revenue",'Prior Year Data Pull'!$A$1:$CB$1,0)),"")</f>
        <v>1082433356</v>
      </c>
      <c r="R45" s="47">
        <f>IFERROR(INDEX('Prior Year Data Pull'!$A$2:$CB$593,MATCH('Prior Year Data Table'!$C45,'Prior Year Data Pull'!$A$2:$A$593,0),MATCH("Total Unrestricted Revenue Gains and Other Support",'Prior Year Data Pull'!$A$1:$CB$1,0)),"")</f>
        <v>1134888235</v>
      </c>
      <c r="S45" s="47">
        <f>IFERROR(INDEX('Prior Year TS Data Pull'!$K$2:$K$607,MATCH(C45,'Prior Year TS Data Pull'!$A$2:$A$607,0))+INDEX('Prior Year TS Data Pull'!$O$2:$O$119,MATCH(C45,'Prior Year TS Data Pull'!$A$2:$A$607,0))+INDEX('Prior Year TS Data Pull'!$S$2:$S$119,MATCH(C45,'Prior Year TS Data Pull'!$A$2:$A$607,0)),"")</f>
        <v>0</v>
      </c>
      <c r="T45" s="47">
        <f>IF(INDEX('Prior Year TS Data Pull'!$A$1:$O$607,MATCH(C45,'Prior Year TS Data Pull'!$A$1:$A$607,0),MATCH("Temporary RN Staffing:
Line Reported on in Standardized Financials",'Prior Year TS Data Pull'!$A$1:$O$1,0))="66.1: Salary and Benefit Expense",'Prior Year Data Table'!$AV45-'Prior Year Data Table'!$S45,0)</f>
        <v>0</v>
      </c>
      <c r="U45" s="47">
        <f>IFERROR(INDEX('Prior Year Data Pull'!$A$2:$CB$593,MATCH(C45,'Prior Year Data Pull'!$A$2:$A$593,0),MATCH("Total Expenses Including Nonrecurring Gains Losses",'Prior Year Data Pull'!$A$1:$CB$1,0)),"")</f>
        <v>1082017703</v>
      </c>
      <c r="V45" s="266">
        <f t="shared" si="5"/>
        <v>15.3294639685114</v>
      </c>
      <c r="W45" s="266">
        <f t="shared" si="6"/>
        <v>31.326572140627896</v>
      </c>
      <c r="X45" s="266">
        <f t="shared" si="7"/>
        <v>61.074019106064398</v>
      </c>
      <c r="Y45" s="45">
        <f t="shared" si="8"/>
        <v>1.2294335902456679</v>
      </c>
      <c r="Z45" s="266">
        <f t="shared" si="9"/>
        <v>79.110302882211883</v>
      </c>
      <c r="AA45" s="265">
        <f t="shared" si="10"/>
        <v>1.222460372685497</v>
      </c>
      <c r="AB45" s="45">
        <f t="shared" si="11"/>
        <v>0.4227252857108183</v>
      </c>
      <c r="AC45" s="45">
        <f t="shared" si="12"/>
        <v>0.19404993603803153</v>
      </c>
      <c r="AD45" s="47">
        <f>IFERROR(INDEX('Prior Year Data Pull'!$A$2:$CB$593,MATCH(C45,'Prior Year Data Pull'!$A$2:$A$593,0),MATCH("Net Patient Service Revenue",'Prior Year Data Pull'!$A$1:$CB$1,0)),"")</f>
        <v>459240867</v>
      </c>
      <c r="AE45" s="47">
        <f>IFERROR(INDEX('Prior Year Data Pull'!$A$2:$CB$593,MATCH(C45,'Prior Year Data Pull'!$A$2:$A$593,0),MATCH("Total Current Assets",'Prior Year Data Pull'!$A$1:$CB$1,0)),"")</f>
        <v>445136036</v>
      </c>
      <c r="AF45" s="47">
        <f>IFERROR(INDEX('Prior Year Data Pull'!$A$2:$CB$593,MATCH(C45,'Prior Year Data Pull'!$A$2:$A$593,0),MATCH("Total Current Liabilities",'Prior Year Data Pull'!$A$1:$CB$1,0)),"")</f>
        <v>174819946</v>
      </c>
      <c r="AG45" s="47">
        <f>IFERROR(INDEX('Prior Year Data Pull'!$A$2:$CB$593,MATCH(C45,'Prior Year Data Pull'!$A$2:$A$593,0),MATCH("Total Non Operating Revenue",'Prior Year Data Pull'!$A$1:$CB$1,0)),"")</f>
        <v>52454879</v>
      </c>
      <c r="AH45" s="47">
        <f>IFERROR(INDEX('Prior Year Data Pull'!$A$2:$CB$593,MATCH(C45,'Prior Year Data Pull'!$A$2:$A$593,0),MATCH("Less Accumulated Depreciation",'Prior Year Data Pull'!$A$1:$CB$1,0)),"")</f>
        <v>664712001</v>
      </c>
      <c r="AI45" s="47">
        <f>IFERROR(INDEX('Prior Year Data Pull'!$A$2:$CB$593,MATCH(C45,'Prior Year Data Pull'!$A$2:$A$593,0),MATCH("Depreciation and Amortization Expense",'Prior Year Data Pull'!$A$1:$CB$1,0)),"")</f>
        <v>43361725</v>
      </c>
      <c r="AJ45" s="47">
        <f>IFERROR(INDEX('Prior Year Data Pull'!$A$2:$CB$593,MATCH(C45,'Prior Year Data Pull'!$A$2:$A$593,0),MATCH("Net Patient Accounts Receivable",'Prior Year Data Pull'!$A$1:$CB$1,0)),"")</f>
        <v>39414910</v>
      </c>
      <c r="AK45" s="46">
        <v>365</v>
      </c>
      <c r="AL45" s="47">
        <f>IFERROR(INDEX('Prior Year Data Pull'!$A$2:$CB$593,MATCH(C45,'Prior Year Data Pull'!$A$2:$A$593,0),MATCH("Estimated Third Party Settlements",'Prior Year Data Pull'!$A$1:$CB$1,0)),"")</f>
        <v>1025713</v>
      </c>
      <c r="AM45" s="47">
        <f>IFERROR(INDEX('Prior Year Data Pull'!$A$2:$CB$593,MATCH(C45,'Prior Year Data Pull'!$A$2:$A$593,0),MATCH("Current Liabilities due to Affiliates",'Prior Year Data Pull'!$A$1:$CB$1,0)),"")</f>
        <v>0</v>
      </c>
      <c r="AN45" s="47">
        <f>IFERROR(INDEX('Prior Year Data Pull'!$A$2:$CB$593,MATCH(C45,'Prior Year Data Pull'!$A$2:$A$593,0),MATCH("Short Term Investments",'Prior Year Data Pull'!$A$1:$CB$1,0)),"")</f>
        <v>12504295</v>
      </c>
      <c r="AO45" s="47">
        <f>IFERROR(INDEX('Prior Year Data Pull'!$A$2:$CB$593,MATCH(C45,'Prior Year Data Pull'!$A$2:$A$593,0),MATCH("Cash and Cash Equivalents",'Prior Year Data Pull'!$A$1:$CB$1,0)),"")</f>
        <v>212614579</v>
      </c>
      <c r="AP45" s="47">
        <f>IFERROR(INDEX('Prior Year Data Pull'!$A$2:$CB$593,MATCH(C45,'Prior Year Data Pull'!$A$2:$A$593,0),MATCH("Interest Expense",'Prior Year Data Pull'!$A$1:$CB$1,0)),"")</f>
        <v>2453557</v>
      </c>
      <c r="AQ45" s="47">
        <f>IFERROR(INDEX('Prior Year Data Pull'!$A$2:$CB$593,MATCH(C45,'Prior Year Data Pull'!$A$2:$A$593,0),MATCH("Long Term Debt Net of Current Portion",'Prior Year Data Pull'!$A$1:$CB$1,0)),"")</f>
        <v>78273652</v>
      </c>
      <c r="AR45" s="47">
        <f>IFERROR(INDEX('Prior Year Data Pull'!$A$2:$CB$593,MATCH(C45,'Prior Year Data Pull'!$A$2:$A$593,0),MATCH("Total Assets",'Prior Year Data Pull'!$A$1:$CB$1,0)),"")</f>
        <v>771755516</v>
      </c>
      <c r="AS45" s="47">
        <f>IFERROR(INDEX('Prior Year Data Pull'!$A$2:$CB$593,MATCH(C45,'Prior Year Data Pull'!$A$2:$A$593,0),MATCH("Long Term Debt Net of Current Portion",'Prior Year Data Pull'!$A$1:$CB$1,0)),"")</f>
        <v>78273652</v>
      </c>
      <c r="AT45" s="47">
        <f>IFERROR(INDEX('Prior Year Data Pull'!$A$2:$CB$593,MATCH(C45,'Prior Year Data Pull'!$A$2:$A$593,0),MATCH("Net Unrestricted Assets",'Prior Year Data Pull'!$A$1:$CB$1,0)),"")</f>
        <v>325094953</v>
      </c>
      <c r="AU45" s="47">
        <f>IFERROR(INDEX('Prior Year Data Pull'!$A$2:$CB$593,MATCH(C45,'Prior Year Data Pull'!$A$2:$A$593,0),MATCH("Unrealized Gains/Losses",'Prior Year Data Pull'!$A$1:$CB$1,0)),"")</f>
        <v>0</v>
      </c>
      <c r="AV45" s="47">
        <f>IFERROR(INDEX('Prior Year Data Pull'!$A$2:$CB$593,MATCH(C45,'Prior Year Data Pull'!$A$2:$A$593,0),MATCH("Salary and Benefit Expense",'Prior Year Data Pull'!$A$1:$CB$1,0)),"")</f>
        <v>644442608</v>
      </c>
    </row>
    <row r="46" spans="1:48" ht="34.200000000000003" x14ac:dyDescent="0.3">
      <c r="A46" s="14" t="str">
        <f>IFERROR(INDEX('Static Data Tab'!$N$2:$N$610,MATCH(D46,'Static Data Tab'!$D$2:$D$610,0)), "")</f>
        <v>Berkshire Health Systems</v>
      </c>
      <c r="B46" s="14" t="s">
        <v>611</v>
      </c>
      <c r="C46" s="14">
        <v>3106</v>
      </c>
      <c r="D46" s="14">
        <v>3106</v>
      </c>
      <c r="E46" s="14" t="str">
        <f>IFERROR(INDEX('Prior Year Data Pull'!$A$1:$CB$593,MATCH(C46,'Prior Year Data Pull'!$A$1:$A$593,0),MATCH("Organization Type",'Prior Year Data Pull'!$A$1:$CB$1,0)),"")</f>
        <v>HHS</v>
      </c>
      <c r="F46" s="14" t="str">
        <f>IFERROR(INDEX('Static Data Tab'!$E$2:$E$610,MATCH(C46,'Static Data Tab'!$B$2:$B$610,0)), "-")</f>
        <v>-</v>
      </c>
      <c r="G46" s="14" t="str">
        <f>IFERROR(INDEX('Static Data Tab'!$J$2:$J$610,MATCH(C46,'Static Data Tab'!$B$2:$B$610,0)), "")</f>
        <v/>
      </c>
      <c r="H46" s="14" t="str">
        <f>IFERROR(INDEX('Static Data Tab'!$F$2:$F$610,MATCH(C46,'Static Data Tab'!$B$2:$B$610,0)), "")</f>
        <v/>
      </c>
      <c r="I46" s="14" t="str">
        <f>IFERROR(INDEX('Static Data Tab'!$G$2:$G$610,MATCH(C46,'Static Data Tab'!$B$2:$B$610,0)), "")</f>
        <v/>
      </c>
      <c r="J46" s="14" t="str">
        <f>IFERROR(INDEX('Prior Year Data Pull'!$A$2:$CB$593,MATCH(C46,'Prior Year Data Pull'!$A$2:$A$593,0),MATCH("Quarter Range",'Prior Year Data Pull'!$A$1:$CB$1,0)),"")</f>
        <v xml:space="preserve">10/01/2024-09/30/2025
</v>
      </c>
      <c r="K46" s="37">
        <f t="shared" si="0"/>
        <v>4.694399615981714E-2</v>
      </c>
      <c r="L46" s="37">
        <f t="shared" si="1"/>
        <v>3.6712090515491784E-2</v>
      </c>
      <c r="M46" s="37">
        <f t="shared" si="2"/>
        <v>8.3656086675308924E-2</v>
      </c>
      <c r="N46" s="38">
        <f t="shared" si="3"/>
        <v>84452375</v>
      </c>
      <c r="O46" s="39">
        <f t="shared" si="4"/>
        <v>2.0461711938248786</v>
      </c>
      <c r="P46" s="38">
        <f>IFERROR(INDEX('Prior Year Data Pull'!$A$2:$CB$593,MATCH('Prior Year Data Table'!$C46,'Prior Year Data Pull'!$A$2:$A$593,0),MATCH("Total Net Assets or Equity",'Prior Year Data Pull'!$A$1:$CB$1,0)),"")</f>
        <v>840076891</v>
      </c>
      <c r="Q46" s="38">
        <f>IFERROR(INDEX('Prior Year Data Pull'!$A$2:$CB$593,MATCH('Prior Year Data Table'!$C46,'Prior Year Data Pull'!$A$2:$A$593,0),MATCH("Total Operating Revenue",'Prior Year Data Pull'!$A$1:$CB$1,0)),"")</f>
        <v>972457056</v>
      </c>
      <c r="R46" s="38">
        <f>IFERROR(INDEX('Prior Year Data Pull'!$A$2:$CB$593,MATCH('Prior Year Data Table'!$C46,'Prior Year Data Pull'!$A$2:$A$593,0),MATCH("Total Unrestricted Revenue Gains and Other Support",'Prior Year Data Pull'!$A$1:$CB$1,0)),"")</f>
        <v>1009518594</v>
      </c>
      <c r="S46" s="38">
        <f>IFERROR(INDEX('Prior Year TS Data Pull'!$K$2:$K$607,MATCH(C46,'Prior Year TS Data Pull'!$A$2:$A$607,0))+INDEX('Prior Year TS Data Pull'!$O$2:$O$119,MATCH(C46,'Prior Year TS Data Pull'!$A$2:$A$607,0))+INDEX('Prior Year TS Data Pull'!$S$2:$S$119,MATCH(C46,'Prior Year TS Data Pull'!$A$2:$A$607,0)),"")</f>
        <v>18816239.810000002</v>
      </c>
      <c r="T46" s="38">
        <f>IF(INDEX('Prior Year TS Data Pull'!$A$1:$O$607,MATCH(C46,'Prior Year TS Data Pull'!$A$1:$A$607,0),MATCH("Temporary RN Staffing:
Line Reported on in Standardized Financials",'Prior Year TS Data Pull'!$A$1:$O$1,0))="66.1: Salary and Benefit Expense",'Prior Year Data Table'!$AV46-'Prior Year Data Table'!$S46,0)</f>
        <v>0</v>
      </c>
      <c r="U46" s="38">
        <f>IFERROR(INDEX('Prior Year Data Pull'!$A$2:$CB$593,MATCH(C46,'Prior Year Data Pull'!$A$2:$A$593,0),MATCH("Total Expenses Including Nonrecurring Gains Losses",'Prior Year Data Pull'!$A$1:$CB$1,0)),"")</f>
        <v>925066219</v>
      </c>
      <c r="V46" s="41">
        <f t="shared" si="5"/>
        <v>16.861632638264801</v>
      </c>
      <c r="W46" s="41">
        <f t="shared" si="6"/>
        <v>34.220895319650275</v>
      </c>
      <c r="X46" s="41">
        <f t="shared" si="7"/>
        <v>42.971145126875847</v>
      </c>
      <c r="Y46" s="37">
        <f t="shared" si="8"/>
        <v>3.0595140393158919</v>
      </c>
      <c r="Z46" s="41">
        <f t="shared" si="9"/>
        <v>98.422995812524519</v>
      </c>
      <c r="AA46" s="39">
        <f t="shared" si="10"/>
        <v>3.0367003226037839</v>
      </c>
      <c r="AB46" s="37">
        <f t="shared" si="11"/>
        <v>0.75924623199729513</v>
      </c>
      <c r="AC46" s="37">
        <f t="shared" si="12"/>
        <v>4.2105531463295119E-2</v>
      </c>
      <c r="AD46" s="38">
        <f>IFERROR(INDEX('Prior Year Data Pull'!$A$2:$CB$593,MATCH(C46,'Prior Year Data Pull'!$A$2:$A$593,0),MATCH("Net Patient Service Revenue",'Prior Year Data Pull'!$A$1:$CB$1,0)),"")</f>
        <v>746586004</v>
      </c>
      <c r="AE46" s="38">
        <f>IFERROR(INDEX('Prior Year Data Pull'!$A$2:$CB$593,MATCH(C46,'Prior Year Data Pull'!$A$2:$A$593,0),MATCH("Total Current Assets",'Prior Year Data Pull'!$A$1:$CB$1,0)),"")</f>
        <v>350208545</v>
      </c>
      <c r="AF46" s="38">
        <f>IFERROR(INDEX('Prior Year Data Pull'!$A$2:$CB$593,MATCH(C46,'Prior Year Data Pull'!$A$2:$A$593,0),MATCH("Total Current Liabilities",'Prior Year Data Pull'!$A$1:$CB$1,0)),"")</f>
        <v>171153101</v>
      </c>
      <c r="AG46" s="38">
        <f>IFERROR(INDEX('Prior Year Data Pull'!$A$2:$CB$593,MATCH(C46,'Prior Year Data Pull'!$A$2:$A$593,0),MATCH("Total Non Operating Revenue",'Prior Year Data Pull'!$A$1:$CB$1,0)),"")</f>
        <v>37061538</v>
      </c>
      <c r="AH46" s="38">
        <f>IFERROR(INDEX('Prior Year Data Pull'!$A$2:$CB$593,MATCH(C46,'Prior Year Data Pull'!$A$2:$A$593,0),MATCH("Less Accumulated Depreciation",'Prior Year Data Pull'!$A$1:$CB$1,0)),"")</f>
        <v>373036340</v>
      </c>
      <c r="AI46" s="38">
        <f>IFERROR(INDEX('Prior Year Data Pull'!$A$2:$CB$593,MATCH(C46,'Prior Year Data Pull'!$A$2:$A$593,0),MATCH("Depreciation and Amortization Expense",'Prior Year Data Pull'!$A$1:$CB$1,0)),"")</f>
        <v>22123382</v>
      </c>
      <c r="AJ46" s="38">
        <f>IFERROR(INDEX('Prior Year Data Pull'!$A$2:$CB$593,MATCH(C46,'Prior Year Data Pull'!$A$2:$A$593,0),MATCH("Net Patient Accounts Receivable",'Prior Year Data Pull'!$A$1:$CB$1,0)),"")</f>
        <v>69996826</v>
      </c>
      <c r="AK46" s="14">
        <v>365</v>
      </c>
      <c r="AL46" s="38">
        <f>IFERROR(INDEX('Prior Year Data Pull'!$A$2:$CB$593,MATCH(C46,'Prior Year Data Pull'!$A$2:$A$593,0),MATCH("Estimated Third Party Settlements",'Prior Year Data Pull'!$A$1:$CB$1,0)),"")</f>
        <v>64850395</v>
      </c>
      <c r="AM46" s="38">
        <f>IFERROR(INDEX('Prior Year Data Pull'!$A$2:$CB$593,MATCH(C46,'Prior Year Data Pull'!$A$2:$A$593,0),MATCH("Current Liabilities due to Affiliates",'Prior Year Data Pull'!$A$1:$CB$1,0)),"")</f>
        <v>0</v>
      </c>
      <c r="AN46" s="38">
        <f>IFERROR(INDEX('Prior Year Data Pull'!$A$2:$CB$593,MATCH(C46,'Prior Year Data Pull'!$A$2:$A$593,0),MATCH("Short Term Investments",'Prior Year Data Pull'!$A$1:$CB$1,0)),"")</f>
        <v>0</v>
      </c>
      <c r="AO46" s="38">
        <f>IFERROR(INDEX('Prior Year Data Pull'!$A$2:$CB$593,MATCH(C46,'Prior Year Data Pull'!$A$2:$A$593,0),MATCH("Cash and Cash Equivalents",'Prior Year Data Pull'!$A$1:$CB$1,0)),"")</f>
        <v>243480381</v>
      </c>
      <c r="AP46" s="38">
        <f>IFERROR(INDEX('Prior Year Data Pull'!$A$2:$CB$593,MATCH(C46,'Prior Year Data Pull'!$A$2:$A$593,0),MATCH("Interest Expense",'Prior Year Data Pull'!$A$1:$CB$1,0)),"")</f>
        <v>385762</v>
      </c>
      <c r="AQ46" s="38">
        <f>IFERROR(INDEX('Prior Year Data Pull'!$A$2:$CB$593,MATCH(C46,'Prior Year Data Pull'!$A$2:$A$593,0),MATCH("Long Term Debt Net of Current Portion",'Prior Year Data Pull'!$A$1:$CB$1,0)),"")</f>
        <v>34439000</v>
      </c>
      <c r="AR46" s="38">
        <f>IFERROR(INDEX('Prior Year Data Pull'!$A$2:$CB$593,MATCH(C46,'Prior Year Data Pull'!$A$2:$A$593,0),MATCH("Total Assets",'Prior Year Data Pull'!$A$1:$CB$1,0)),"")</f>
        <v>1106461719</v>
      </c>
      <c r="AS46" s="38">
        <f>IFERROR(INDEX('Prior Year Data Pull'!$A$2:$CB$593,MATCH(C46,'Prior Year Data Pull'!$A$2:$A$593,0),MATCH("Long Term Debt Net of Current Portion",'Prior Year Data Pull'!$A$1:$CB$1,0)),"")</f>
        <v>34439000</v>
      </c>
      <c r="AT46" s="38">
        <f>IFERROR(INDEX('Prior Year Data Pull'!$A$2:$CB$593,MATCH(C46,'Prior Year Data Pull'!$A$2:$A$593,0),MATCH("Net Unrestricted Assets",'Prior Year Data Pull'!$A$1:$CB$1,0)),"")</f>
        <v>783482038</v>
      </c>
      <c r="AU46" s="38">
        <f>IFERROR(INDEX('Prior Year Data Pull'!$A$2:$CB$593,MATCH(C46,'Prior Year Data Pull'!$A$2:$A$593,0),MATCH("Unrealized Gains/Losses",'Prior Year Data Pull'!$A$1:$CB$1,0)),"")</f>
        <v>1209153</v>
      </c>
      <c r="AV46" s="38">
        <f>IFERROR(INDEX('Prior Year Data Pull'!$A$2:$CB$593,MATCH(C46,'Prior Year Data Pull'!$A$2:$A$593,0),MATCH("Salary and Benefit Expense",'Prior Year Data Pull'!$A$1:$CB$1,0)),"")</f>
        <v>506787967</v>
      </c>
    </row>
    <row r="47" spans="1:48" ht="34.200000000000003" x14ac:dyDescent="0.3">
      <c r="A47" s="46" t="str">
        <f>IFERROR(INDEX('Static Data Tab'!$N$2:$N$610,MATCH(D47,'Static Data Tab'!$D$2:$D$610,0)), "")</f>
        <v>Tufts Medicine</v>
      </c>
      <c r="B47" s="46" t="s">
        <v>192</v>
      </c>
      <c r="C47" s="46">
        <v>3111</v>
      </c>
      <c r="D47" s="46">
        <v>12775</v>
      </c>
      <c r="E47" s="46" t="str">
        <f>IFERROR(INDEX('Prior Year Data Pull'!$A$1:$CB$593,MATCH(C47,'Prior Year Data Pull'!$A$1:$A$593,0),MATCH("Organization Type",'Prior Year Data Pull'!$A$1:$CB$1,0)),"")</f>
        <v>AcuteHospital</v>
      </c>
      <c r="F47" s="46" t="str">
        <f>IFERROR(INDEX('Static Data Tab'!$E$2:$E$610,MATCH(C47,'Static Data Tab'!$B$2:$B$610,0)), "-")</f>
        <v>Community-High Public Payer Hospital</v>
      </c>
      <c r="G47" s="46" t="str">
        <f>IFERROR(INDEX('Static Data Tab'!$J$2:$J$610,MATCH(C47,'Static Data Tab'!$B$2:$B$610,0)), "")</f>
        <v>Metro Boston</v>
      </c>
      <c r="H47" s="46" t="str">
        <f>IFERROR(INDEX('Static Data Tab'!$F$2:$F$610,MATCH(C47,'Static Data Tab'!$B$2:$B$610,0)), "")</f>
        <v>x</v>
      </c>
      <c r="I47" s="46">
        <f>IFERROR(INDEX('Static Data Tab'!$G$2:$G$610,MATCH(C47,'Static Data Tab'!$B$2:$B$610,0)), "")</f>
        <v>0</v>
      </c>
      <c r="J47" s="46" t="str">
        <f>IFERROR(INDEX('Prior Year Data Pull'!$A$2:$CB$593,MATCH(C47,'Prior Year Data Pull'!$A$2:$A$593,0),MATCH("Quarter Range",'Prior Year Data Pull'!$A$1:$CB$1,0)),"")</f>
        <v xml:space="preserve">10/01/2024-09/30/2025
</v>
      </c>
      <c r="K47" s="45">
        <f t="shared" si="0"/>
        <v>-2.7906688302963277E-4</v>
      </c>
      <c r="L47" s="45">
        <f t="shared" si="1"/>
        <v>1.7226350804298321E-5</v>
      </c>
      <c r="M47" s="45">
        <f t="shared" si="2"/>
        <v>-2.6184053222533444E-4</v>
      </c>
      <c r="N47" s="47">
        <f t="shared" si="3"/>
        <v>-76000</v>
      </c>
      <c r="O47" s="265">
        <f t="shared" si="4"/>
        <v>0.88936091085936608</v>
      </c>
      <c r="P47" s="47">
        <f>IFERROR(INDEX('Prior Year Data Pull'!$A$2:$CB$593,MATCH('Prior Year Data Table'!$C47,'Prior Year Data Pull'!$A$2:$A$593,0),MATCH("Total Net Assets or Equity",'Prior Year Data Pull'!$A$1:$CB$1,0)),"")</f>
        <v>131843000</v>
      </c>
      <c r="Q47" s="47">
        <f>IFERROR(INDEX('Prior Year Data Pull'!$A$2:$CB$593,MATCH('Prior Year Data Table'!$C47,'Prior Year Data Pull'!$A$2:$A$593,0),MATCH("Total Operating Revenue",'Prior Year Data Pull'!$A$1:$CB$1,0)),"")</f>
        <v>290248000</v>
      </c>
      <c r="R47" s="47">
        <f>IFERROR(INDEX('Prior Year Data Pull'!$A$2:$CB$593,MATCH('Prior Year Data Table'!$C47,'Prior Year Data Pull'!$A$2:$A$593,0),MATCH("Total Unrestricted Revenue Gains and Other Support",'Prior Year Data Pull'!$A$1:$CB$1,0)),"")</f>
        <v>290253000</v>
      </c>
      <c r="S47" s="47" t="str">
        <f>IFERROR(INDEX('Prior Year TS Data Pull'!$K$2:$K$607,MATCH(C47,'Prior Year TS Data Pull'!$A$2:$A$607,0))+INDEX('Prior Year TS Data Pull'!$O$2:$O$119,MATCH(C47,'Prior Year TS Data Pull'!$A$2:$A$607,0))+INDEX('Prior Year TS Data Pull'!$S$2:$S$119,MATCH(C47,'Prior Year TS Data Pull'!$A$2:$A$607,0)),"")</f>
        <v/>
      </c>
      <c r="T47" s="47" t="e">
        <f>IF(INDEX('Prior Year TS Data Pull'!$A$1:$O$607,MATCH(C47,'Prior Year TS Data Pull'!$A$1:$A$607,0),MATCH("Temporary RN Staffing:
Line Reported on in Standardized Financials",'Prior Year TS Data Pull'!$A$1:$O$1,0))="66.1: Salary and Benefit Expense",'Prior Year Data Table'!$AV47-'Prior Year Data Table'!$S47,0)</f>
        <v>#N/A</v>
      </c>
      <c r="U47" s="47">
        <f>IFERROR(INDEX('Prior Year Data Pull'!$A$2:$CB$593,MATCH(C47,'Prior Year Data Pull'!$A$2:$A$593,0),MATCH("Total Expenses Including Nonrecurring Gains Losses",'Prior Year Data Pull'!$A$1:$CB$1,0)),"")</f>
        <v>290329000</v>
      </c>
      <c r="V47" s="266">
        <f t="shared" si="5"/>
        <v>30.087864969713468</v>
      </c>
      <c r="W47" s="266">
        <f t="shared" si="6"/>
        <v>44.246111418375776</v>
      </c>
      <c r="X47" s="266">
        <f t="shared" si="7"/>
        <v>91.387717859786093</v>
      </c>
      <c r="Y47" s="45">
        <f t="shared" si="8"/>
        <v>0.53278658647712773</v>
      </c>
      <c r="Z47" s="266">
        <f t="shared" si="9"/>
        <v>20.640464235440945</v>
      </c>
      <c r="AA47" s="265">
        <f t="shared" si="10"/>
        <v>1.6690516060283147</v>
      </c>
      <c r="AB47" s="45">
        <f t="shared" si="11"/>
        <v>0.61700564390074975</v>
      </c>
      <c r="AC47" s="45">
        <f t="shared" si="12"/>
        <v>5.0885496716501326E-2</v>
      </c>
      <c r="AD47" s="47">
        <f>IFERROR(INDEX('Prior Year Data Pull'!$A$2:$CB$593,MATCH(C47,'Prior Year Data Pull'!$A$2:$A$593,0),MATCH("Net Patient Service Revenue",'Prior Year Data Pull'!$A$1:$CB$1,0)),"")</f>
        <v>263978000</v>
      </c>
      <c r="AE47" s="47">
        <f>IFERROR(INDEX('Prior Year Data Pull'!$A$2:$CB$593,MATCH(C47,'Prior Year Data Pull'!$A$2:$A$593,0),MATCH("Total Current Assets",'Prior Year Data Pull'!$A$1:$CB$1,0)),"")</f>
        <v>62177000</v>
      </c>
      <c r="AF47" s="47">
        <f>IFERROR(INDEX('Prior Year Data Pull'!$A$2:$CB$593,MATCH(C47,'Prior Year Data Pull'!$A$2:$A$593,0),MATCH("Total Current Liabilities",'Prior Year Data Pull'!$A$1:$CB$1,0)),"")</f>
        <v>69912000</v>
      </c>
      <c r="AG47" s="47">
        <f>IFERROR(INDEX('Prior Year Data Pull'!$A$2:$CB$593,MATCH(C47,'Prior Year Data Pull'!$A$2:$A$593,0),MATCH("Total Non Operating Revenue",'Prior Year Data Pull'!$A$1:$CB$1,0)),"")</f>
        <v>5000</v>
      </c>
      <c r="AH47" s="47">
        <f>IFERROR(INDEX('Prior Year Data Pull'!$A$2:$CB$593,MATCH(C47,'Prior Year Data Pull'!$A$2:$A$593,0),MATCH("Less Accumulated Depreciation",'Prior Year Data Pull'!$A$1:$CB$1,0)),"")</f>
        <v>442081000</v>
      </c>
      <c r="AI47" s="47">
        <f>IFERROR(INDEX('Prior Year Data Pull'!$A$2:$CB$593,MATCH(C47,'Prior Year Data Pull'!$A$2:$A$593,0),MATCH("Depreciation and Amortization Expense",'Prior Year Data Pull'!$A$1:$CB$1,0)),"")</f>
        <v>14693000</v>
      </c>
      <c r="AJ47" s="47">
        <f>IFERROR(INDEX('Prior Year Data Pull'!$A$2:$CB$593,MATCH(C47,'Prior Year Data Pull'!$A$2:$A$593,0),MATCH("Net Patient Accounts Receivable",'Prior Year Data Pull'!$A$1:$CB$1,0)),"")</f>
        <v>32000000</v>
      </c>
      <c r="AK47" s="46">
        <v>365</v>
      </c>
      <c r="AL47" s="47">
        <f>IFERROR(INDEX('Prior Year Data Pull'!$A$2:$CB$593,MATCH(C47,'Prior Year Data Pull'!$A$2:$A$593,0),MATCH("Estimated Third Party Settlements",'Prior Year Data Pull'!$A$1:$CB$1,0)),"")</f>
        <v>899000</v>
      </c>
      <c r="AM47" s="47">
        <f>IFERROR(INDEX('Prior Year Data Pull'!$A$2:$CB$593,MATCH(C47,'Prior Year Data Pull'!$A$2:$A$593,0),MATCH("Current Liabilities due to Affiliates",'Prior Year Data Pull'!$A$1:$CB$1,0)),"")</f>
        <v>21608000</v>
      </c>
      <c r="AN47" s="47">
        <f>IFERROR(INDEX('Prior Year Data Pull'!$A$2:$CB$593,MATCH(C47,'Prior Year Data Pull'!$A$2:$A$593,0),MATCH("Short Term Investments",'Prior Year Data Pull'!$A$1:$CB$1,0)),"")</f>
        <v>14500000</v>
      </c>
      <c r="AO47" s="47">
        <f>IFERROR(INDEX('Prior Year Data Pull'!$A$2:$CB$593,MATCH(C47,'Prior Year Data Pull'!$A$2:$A$593,0),MATCH("Cash and Cash Equivalents",'Prior Year Data Pull'!$A$1:$CB$1,0)),"")</f>
        <v>1087000</v>
      </c>
      <c r="AP47" s="47">
        <f>IFERROR(INDEX('Prior Year Data Pull'!$A$2:$CB$593,MATCH(C47,'Prior Year Data Pull'!$A$2:$A$593,0),MATCH("Interest Expense",'Prior Year Data Pull'!$A$1:$CB$1,0)),"")</f>
        <v>7311000</v>
      </c>
      <c r="AQ47" s="47">
        <f>IFERROR(INDEX('Prior Year Data Pull'!$A$2:$CB$593,MATCH(C47,'Prior Year Data Pull'!$A$2:$A$593,0),MATCH("Long Term Debt Net of Current Portion",'Prior Year Data Pull'!$A$1:$CB$1,0)),"")</f>
        <v>5827000</v>
      </c>
      <c r="AR47" s="47">
        <f>IFERROR(INDEX('Prior Year Data Pull'!$A$2:$CB$593,MATCH(C47,'Prior Year Data Pull'!$A$2:$A$593,0),MATCH("Total Assets",'Prior Year Data Pull'!$A$1:$CB$1,0)),"")</f>
        <v>213682000</v>
      </c>
      <c r="AS47" s="47">
        <f>IFERROR(INDEX('Prior Year Data Pull'!$A$2:$CB$593,MATCH(C47,'Prior Year Data Pull'!$A$2:$A$593,0),MATCH("Long Term Debt Net of Current Portion",'Prior Year Data Pull'!$A$1:$CB$1,0)),"")</f>
        <v>5827000</v>
      </c>
      <c r="AT47" s="47">
        <f>IFERROR(INDEX('Prior Year Data Pull'!$A$2:$CB$593,MATCH(C47,'Prior Year Data Pull'!$A$2:$A$593,0),MATCH("Net Unrestricted Assets",'Prior Year Data Pull'!$A$1:$CB$1,0)),"")</f>
        <v>108685000</v>
      </c>
      <c r="AU47" s="47">
        <f>IFERROR(INDEX('Prior Year Data Pull'!$A$2:$CB$593,MATCH(C47,'Prior Year Data Pull'!$A$2:$A$593,0),MATCH("Unrealized Gains/Losses",'Prior Year Data Pull'!$A$1:$CB$1,0)),"")</f>
        <v>0</v>
      </c>
      <c r="AV47" s="47">
        <f>IFERROR(INDEX('Prior Year Data Pull'!$A$2:$CB$593,MATCH(C47,'Prior Year Data Pull'!$A$2:$A$593,0),MATCH("Salary and Benefit Expense",'Prior Year Data Pull'!$A$1:$CB$1,0)),"")</f>
        <v>161675000</v>
      </c>
    </row>
    <row r="48" spans="1:48" ht="34.200000000000003" x14ac:dyDescent="0.3">
      <c r="A48" s="14" t="str">
        <f>IFERROR(INDEX('Static Data Tab'!$N$2:$N$610,MATCH(D48,'Static Data Tab'!$D$2:$D$610,0)), "")</f>
        <v>Beth Israel Lahey Health</v>
      </c>
      <c r="B48" s="14" t="s">
        <v>100</v>
      </c>
      <c r="C48" s="14">
        <v>3112</v>
      </c>
      <c r="D48" s="14">
        <v>16665</v>
      </c>
      <c r="E48" s="14" t="str">
        <f>IFERROR(INDEX('Prior Year Data Pull'!$A$1:$CB$593,MATCH(C48,'Prior Year Data Pull'!$A$1:$A$593,0),MATCH("Organization Type",'Prior Year Data Pull'!$A$1:$CB$1,0)),"")</f>
        <v>AcuteHospital</v>
      </c>
      <c r="F48" s="14" t="str">
        <f>IFERROR(INDEX('Static Data Tab'!$E$2:$E$610,MATCH(C48,'Static Data Tab'!$B$2:$B$610,0)), "-")</f>
        <v>Community-High Public Payer Hospital</v>
      </c>
      <c r="G48" s="14" t="str">
        <f>IFERROR(INDEX('Static Data Tab'!$J$2:$J$610,MATCH(C48,'Static Data Tab'!$B$2:$B$610,0)), "")</f>
        <v>Northeastern Massachusetts</v>
      </c>
      <c r="H48" s="14" t="str">
        <f>IFERROR(INDEX('Static Data Tab'!$F$2:$F$610,MATCH(C48,'Static Data Tab'!$B$2:$B$610,0)), "")</f>
        <v>x</v>
      </c>
      <c r="I48" s="14">
        <f>IFERROR(INDEX('Static Data Tab'!$G$2:$G$610,MATCH(C48,'Static Data Tab'!$B$2:$B$610,0)), "")</f>
        <v>0</v>
      </c>
      <c r="J48" s="14" t="str">
        <f>IFERROR(INDEX('Prior Year Data Pull'!$A$2:$CB$593,MATCH(C48,'Prior Year Data Pull'!$A$2:$A$593,0),MATCH("Quarter Range",'Prior Year Data Pull'!$A$1:$CB$1,0)),"")</f>
        <v xml:space="preserve">10/01/2024-09/30/2025
</v>
      </c>
      <c r="K48" s="37">
        <f t="shared" si="0"/>
        <v>0.13976810513303914</v>
      </c>
      <c r="L48" s="37">
        <f t="shared" si="1"/>
        <v>2.7663027339838542E-2</v>
      </c>
      <c r="M48" s="37">
        <f t="shared" si="2"/>
        <v>0.16743113247287769</v>
      </c>
      <c r="N48" s="38">
        <f t="shared" si="3"/>
        <v>121226000</v>
      </c>
      <c r="O48" s="39">
        <f t="shared" si="4"/>
        <v>8.2532247546641635</v>
      </c>
      <c r="P48" s="38">
        <f>IFERROR(INDEX('Prior Year Data Pull'!$A$2:$CB$593,MATCH('Prior Year Data Table'!$C48,'Prior Year Data Pull'!$A$2:$A$593,0),MATCH("Total Net Assets or Equity",'Prior Year Data Pull'!$A$1:$CB$1,0)),"")</f>
        <v>479735000</v>
      </c>
      <c r="Q48" s="38">
        <f>IFERROR(INDEX('Prior Year Data Pull'!$A$2:$CB$593,MATCH('Prior Year Data Table'!$C48,'Prior Year Data Pull'!$A$2:$A$593,0),MATCH("Total Operating Revenue",'Prior Year Data Pull'!$A$1:$CB$1,0)),"")</f>
        <v>704006000</v>
      </c>
      <c r="R48" s="38">
        <f>IFERROR(INDEX('Prior Year Data Pull'!$A$2:$CB$593,MATCH('Prior Year Data Table'!$C48,'Prior Year Data Pull'!$A$2:$A$593,0),MATCH("Total Unrestricted Revenue Gains and Other Support",'Prior Year Data Pull'!$A$1:$CB$1,0)),"")</f>
        <v>724035000</v>
      </c>
      <c r="S48" s="38">
        <f>IFERROR(INDEX('Prior Year TS Data Pull'!$K$2:$K$607,MATCH(C48,'Prior Year TS Data Pull'!$A$2:$A$607,0))+INDEX('Prior Year TS Data Pull'!$O$2:$O$119,MATCH(C48,'Prior Year TS Data Pull'!$A$2:$A$607,0))+INDEX('Prior Year TS Data Pull'!$S$2:$S$119,MATCH(C48,'Prior Year TS Data Pull'!$A$2:$A$607,0)),"")</f>
        <v>969368.18693216052</v>
      </c>
      <c r="T48" s="38">
        <f>IF(INDEX('Prior Year TS Data Pull'!$A$1:$O$607,MATCH(C48,'Prior Year TS Data Pull'!$A$1:$A$607,0),MATCH("Temporary RN Staffing:
Line Reported on in Standardized Financials",'Prior Year TS Data Pull'!$A$1:$O$1,0))="66.1: Salary and Benefit Expense",'Prior Year Data Table'!$AV48-'Prior Year Data Table'!$S48,0)</f>
        <v>244226631.81306785</v>
      </c>
      <c r="U48" s="38">
        <f>IFERROR(INDEX('Prior Year Data Pull'!$A$2:$CB$593,MATCH(C48,'Prior Year Data Pull'!$A$2:$A$593,0),MATCH("Total Expenses Including Nonrecurring Gains Losses",'Prior Year Data Pull'!$A$1:$CB$1,0)),"")</f>
        <v>602809000</v>
      </c>
      <c r="V48" s="41">
        <f t="shared" si="5"/>
        <v>19.360249157094692</v>
      </c>
      <c r="W48" s="41">
        <f t="shared" si="6"/>
        <v>45.92309870197753</v>
      </c>
      <c r="X48" s="41">
        <f t="shared" si="7"/>
        <v>27.925483931591806</v>
      </c>
      <c r="Y48" s="37">
        <f t="shared" si="8"/>
        <v>1.1872924173191892</v>
      </c>
      <c r="Z48" s="41">
        <f t="shared" si="9"/>
        <v>163.51446242162274</v>
      </c>
      <c r="AA48" s="39">
        <f t="shared" si="10"/>
        <v>1.1840070403037615</v>
      </c>
      <c r="AB48" s="37">
        <f t="shared" si="11"/>
        <v>0.71646188930821741</v>
      </c>
      <c r="AC48" s="37">
        <f t="shared" si="12"/>
        <v>0.18235911667107157</v>
      </c>
      <c r="AD48" s="38">
        <f>IFERROR(INDEX('Prior Year Data Pull'!$A$2:$CB$593,MATCH(C48,'Prior Year Data Pull'!$A$2:$A$593,0),MATCH("Net Patient Service Revenue",'Prior Year Data Pull'!$A$1:$CB$1,0)),"")</f>
        <v>459160000</v>
      </c>
      <c r="AE48" s="38">
        <f>IFERROR(INDEX('Prior Year Data Pull'!$A$2:$CB$593,MATCH(C48,'Prior Year Data Pull'!$A$2:$A$593,0),MATCH("Total Current Assets",'Prior Year Data Pull'!$A$1:$CB$1,0)),"")</f>
        <v>518905000</v>
      </c>
      <c r="AF48" s="38">
        <f>IFERROR(INDEX('Prior Year Data Pull'!$A$2:$CB$593,MATCH(C48,'Prior Year Data Pull'!$A$2:$A$593,0),MATCH("Total Current Liabilities",'Prior Year Data Pull'!$A$1:$CB$1,0)),"")</f>
        <v>62873000</v>
      </c>
      <c r="AG48" s="38">
        <f>IFERROR(INDEX('Prior Year Data Pull'!$A$2:$CB$593,MATCH(C48,'Prior Year Data Pull'!$A$2:$A$593,0),MATCH("Total Non Operating Revenue",'Prior Year Data Pull'!$A$1:$CB$1,0)),"")</f>
        <v>20029000</v>
      </c>
      <c r="AH48" s="38">
        <f>IFERROR(INDEX('Prior Year Data Pull'!$A$2:$CB$593,MATCH(C48,'Prior Year Data Pull'!$A$2:$A$593,0),MATCH("Less Accumulated Depreciation",'Prior Year Data Pull'!$A$1:$CB$1,0)),"")</f>
        <v>338785000</v>
      </c>
      <c r="AI48" s="38">
        <f>IFERROR(INDEX('Prior Year Data Pull'!$A$2:$CB$593,MATCH(C48,'Prior Year Data Pull'!$A$2:$A$593,0),MATCH("Depreciation and Amortization Expense",'Prior Year Data Pull'!$A$1:$CB$1,0)),"")</f>
        <v>17499000</v>
      </c>
      <c r="AJ48" s="38">
        <f>IFERROR(INDEX('Prior Year Data Pull'!$A$2:$CB$593,MATCH(C48,'Prior Year Data Pull'!$A$2:$A$593,0),MATCH("Net Patient Accounts Receivable",'Prior Year Data Pull'!$A$1:$CB$1,0)),"")</f>
        <v>57770000</v>
      </c>
      <c r="AK48" s="14">
        <v>365</v>
      </c>
      <c r="AL48" s="38">
        <f>IFERROR(INDEX('Prior Year Data Pull'!$A$2:$CB$593,MATCH(C48,'Prior Year Data Pull'!$A$2:$A$593,0),MATCH("Estimated Third Party Settlements",'Prior Year Data Pull'!$A$1:$CB$1,0)),"")</f>
        <v>18092000</v>
      </c>
      <c r="AM48" s="38">
        <f>IFERROR(INDEX('Prior Year Data Pull'!$A$2:$CB$593,MATCH(C48,'Prior Year Data Pull'!$A$2:$A$593,0),MATCH("Current Liabilities due to Affiliates",'Prior Year Data Pull'!$A$1:$CB$1,0)),"")</f>
        <v>0</v>
      </c>
      <c r="AN48" s="38">
        <f>IFERROR(INDEX('Prior Year Data Pull'!$A$2:$CB$593,MATCH(C48,'Prior Year Data Pull'!$A$2:$A$593,0),MATCH("Short Term Investments",'Prior Year Data Pull'!$A$1:$CB$1,0)),"")</f>
        <v>261441000</v>
      </c>
      <c r="AO48" s="38">
        <f>IFERROR(INDEX('Prior Year Data Pull'!$A$2:$CB$593,MATCH(C48,'Prior Year Data Pull'!$A$2:$A$593,0),MATCH("Cash and Cash Equivalents",'Prior Year Data Pull'!$A$1:$CB$1,0)),"")</f>
        <v>769000</v>
      </c>
      <c r="AP48" s="38">
        <f>IFERROR(INDEX('Prior Year Data Pull'!$A$2:$CB$593,MATCH(C48,'Prior Year Data Pull'!$A$2:$A$593,0),MATCH("Interest Expense",'Prior Year Data Pull'!$A$1:$CB$1,0)),"")</f>
        <v>1774000</v>
      </c>
      <c r="AQ48" s="38">
        <f>IFERROR(INDEX('Prior Year Data Pull'!$A$2:$CB$593,MATCH(C48,'Prior Year Data Pull'!$A$2:$A$593,0),MATCH("Long Term Debt Net of Current Portion",'Prior Year Data Pull'!$A$1:$CB$1,0)),"")</f>
        <v>99358000</v>
      </c>
      <c r="AR48" s="38">
        <f>IFERROR(INDEX('Prior Year Data Pull'!$A$2:$CB$593,MATCH(C48,'Prior Year Data Pull'!$A$2:$A$593,0),MATCH("Total Assets",'Prior Year Data Pull'!$A$1:$CB$1,0)),"")</f>
        <v>669589000</v>
      </c>
      <c r="AS48" s="38">
        <f>IFERROR(INDEX('Prior Year Data Pull'!$A$2:$CB$593,MATCH(C48,'Prior Year Data Pull'!$A$2:$A$593,0),MATCH("Long Term Debt Net of Current Portion",'Prior Year Data Pull'!$A$1:$CB$1,0)),"")</f>
        <v>99358000</v>
      </c>
      <c r="AT48" s="38">
        <f>IFERROR(INDEX('Prior Year Data Pull'!$A$2:$CB$593,MATCH(C48,'Prior Year Data Pull'!$A$2:$A$593,0),MATCH("Net Unrestricted Assets",'Prior Year Data Pull'!$A$1:$CB$1,0)),"")</f>
        <v>445490000</v>
      </c>
      <c r="AU48" s="38">
        <f>IFERROR(INDEX('Prior Year Data Pull'!$A$2:$CB$593,MATCH(C48,'Prior Year Data Pull'!$A$2:$A$593,0),MATCH("Unrealized Gains/Losses",'Prior Year Data Pull'!$A$1:$CB$1,0)),"")</f>
        <v>20758000</v>
      </c>
      <c r="AV48" s="38">
        <f>IFERROR(INDEX('Prior Year Data Pull'!$A$2:$CB$593,MATCH(C48,'Prior Year Data Pull'!$A$2:$A$593,0),MATCH("Salary and Benefit Expense",'Prior Year Data Pull'!$A$1:$CB$1,0)),"")</f>
        <v>245196000</v>
      </c>
    </row>
    <row r="49" spans="1:48" ht="34.200000000000003" x14ac:dyDescent="0.3">
      <c r="A49" s="46" t="str">
        <f>IFERROR(INDEX('Static Data Tab'!$N$2:$N$610,MATCH(D49,'Static Data Tab'!$D$2:$D$610,0)), "")</f>
        <v>South Coast Health System</v>
      </c>
      <c r="B49" s="46" t="s">
        <v>171</v>
      </c>
      <c r="C49" s="46">
        <v>3113</v>
      </c>
      <c r="D49" s="46">
        <v>4027</v>
      </c>
      <c r="E49" s="46" t="str">
        <f>IFERROR(INDEX('Prior Year Data Pull'!$A$1:$CB$593,MATCH(C49,'Prior Year Data Pull'!$A$1:$A$593,0),MATCH("Organization Type",'Prior Year Data Pull'!$A$1:$CB$1,0)),"")</f>
        <v>AcuteHospital</v>
      </c>
      <c r="F49" s="46" t="str">
        <f>IFERROR(INDEX('Static Data Tab'!$E$2:$E$610,MATCH(C49,'Static Data Tab'!$B$2:$B$610,0)), "-")</f>
        <v>Community-High Public Payer Hospital</v>
      </c>
      <c r="G49" s="46" t="str">
        <f>IFERROR(INDEX('Static Data Tab'!$J$2:$J$610,MATCH(C49,'Static Data Tab'!$B$2:$B$610,0)), "")</f>
        <v>South Coast</v>
      </c>
      <c r="H49" s="46" t="str">
        <f>IFERROR(INDEX('Static Data Tab'!$F$2:$F$610,MATCH(C49,'Static Data Tab'!$B$2:$B$610,0)), "")</f>
        <v>x</v>
      </c>
      <c r="I49" s="46">
        <f>IFERROR(INDEX('Static Data Tab'!$G$2:$G$610,MATCH(C49,'Static Data Tab'!$B$2:$B$610,0)), "")</f>
        <v>0</v>
      </c>
      <c r="J49" s="46" t="str">
        <f>IFERROR(INDEX('Prior Year Data Pull'!$A$2:$CB$593,MATCH(C49,'Prior Year Data Pull'!$A$2:$A$593,0),MATCH("Quarter Range",'Prior Year Data Pull'!$A$1:$CB$1,0)),"")</f>
        <v xml:space="preserve">10/01/2024-09/30/2025
</v>
      </c>
      <c r="K49" s="45">
        <f t="shared" si="0"/>
        <v>5.3476542291388332E-2</v>
      </c>
      <c r="L49" s="45">
        <f t="shared" si="1"/>
        <v>3.4548632778021039E-2</v>
      </c>
      <c r="M49" s="45">
        <f t="shared" si="2"/>
        <v>8.8025175069409281E-2</v>
      </c>
      <c r="N49" s="47">
        <f t="shared" si="3"/>
        <v>124074506.6099999</v>
      </c>
      <c r="O49" s="265">
        <f t="shared" si="4"/>
        <v>1.4681592921733677</v>
      </c>
      <c r="P49" s="47">
        <f>IFERROR(INDEX('Prior Year Data Pull'!$A$2:$CB$593,MATCH('Prior Year Data Table'!$C49,'Prior Year Data Pull'!$A$2:$A$593,0),MATCH("Total Net Assets or Equity",'Prior Year Data Pull'!$A$1:$CB$1,0)),"")</f>
        <v>759133005.76000094</v>
      </c>
      <c r="Q49" s="47">
        <f>IFERROR(INDEX('Prior Year Data Pull'!$A$2:$CB$593,MATCH('Prior Year Data Table'!$C49,'Prior Year Data Pull'!$A$2:$A$593,0),MATCH("Total Operating Revenue",'Prior Year Data Pull'!$A$1:$CB$1,0)),"")</f>
        <v>1360836850.9300001</v>
      </c>
      <c r="R49" s="47">
        <f>IFERROR(INDEX('Prior Year Data Pull'!$A$2:$CB$593,MATCH('Prior Year Data Table'!$C49,'Prior Year Data Pull'!$A$2:$A$593,0),MATCH("Total Unrestricted Revenue Gains and Other Support",'Prior Year Data Pull'!$A$1:$CB$1,0)),"")</f>
        <v>1409534335.0599999</v>
      </c>
      <c r="S49" s="47">
        <f>IFERROR(INDEX('Prior Year TS Data Pull'!$K$2:$K$607,MATCH(C49,'Prior Year TS Data Pull'!$A$2:$A$607,0))+INDEX('Prior Year TS Data Pull'!$O$2:$O$119,MATCH(C49,'Prior Year TS Data Pull'!$A$2:$A$607,0))+INDEX('Prior Year TS Data Pull'!$S$2:$S$119,MATCH(C49,'Prior Year TS Data Pull'!$A$2:$A$607,0)),"")</f>
        <v>3953777.3268663599</v>
      </c>
      <c r="T49" s="47">
        <f>IF(INDEX('Prior Year TS Data Pull'!$A$1:$O$607,MATCH(C49,'Prior Year TS Data Pull'!$A$1:$A$607,0),MATCH("Temporary RN Staffing:
Line Reported on in Standardized Financials",'Prior Year TS Data Pull'!$A$1:$O$1,0))="66.1: Salary and Benefit Expense",'Prior Year Data Table'!$AV49-'Prior Year Data Table'!$S49,0)</f>
        <v>593987505.57313359</v>
      </c>
      <c r="U49" s="47">
        <f>IFERROR(INDEX('Prior Year Data Pull'!$A$2:$CB$593,MATCH(C49,'Prior Year Data Pull'!$A$2:$A$593,0),MATCH("Total Expenses Including Nonrecurring Gains Losses",'Prior Year Data Pull'!$A$1:$CB$1,0)),"")</f>
        <v>1285459828.45</v>
      </c>
      <c r="V49" s="266">
        <f t="shared" si="5"/>
        <v>13.609442568712359</v>
      </c>
      <c r="W49" s="266">
        <f t="shared" si="6"/>
        <v>39.692109660941178</v>
      </c>
      <c r="X49" s="266">
        <f t="shared" si="7"/>
        <v>59.454947845643723</v>
      </c>
      <c r="Y49" s="45">
        <f t="shared" si="8"/>
        <v>0.68691439207962468</v>
      </c>
      <c r="Z49" s="266">
        <f t="shared" si="9"/>
        <v>13.059483873283725</v>
      </c>
      <c r="AA49" s="265">
        <f t="shared" si="10"/>
        <v>0.7602472629012087</v>
      </c>
      <c r="AB49" s="45">
        <f t="shared" si="11"/>
        <v>0.61216860209636803</v>
      </c>
      <c r="AC49" s="45">
        <f t="shared" si="12"/>
        <v>0.23379690940500694</v>
      </c>
      <c r="AD49" s="47">
        <f>IFERROR(INDEX('Prior Year Data Pull'!$A$2:$CB$593,MATCH(C49,'Prior Year Data Pull'!$A$2:$A$593,0),MATCH("Net Patient Service Revenue",'Prior Year Data Pull'!$A$1:$CB$1,0)),"")</f>
        <v>1148901436.8599999</v>
      </c>
      <c r="AE49" s="47">
        <f>IFERROR(INDEX('Prior Year Data Pull'!$A$2:$CB$593,MATCH(C49,'Prior Year Data Pull'!$A$2:$A$593,0),MATCH("Total Current Assets",'Prior Year Data Pull'!$A$1:$CB$1,0)),"")</f>
        <v>298433735.24299997</v>
      </c>
      <c r="AF49" s="47">
        <f>IFERROR(INDEX('Prior Year Data Pull'!$A$2:$CB$593,MATCH(C49,'Prior Year Data Pull'!$A$2:$A$593,0),MATCH("Total Current Liabilities",'Prior Year Data Pull'!$A$1:$CB$1,0)),"")</f>
        <v>203270678.34799999</v>
      </c>
      <c r="AG49" s="47">
        <f>IFERROR(INDEX('Prior Year Data Pull'!$A$2:$CB$593,MATCH(C49,'Prior Year Data Pull'!$A$2:$A$593,0),MATCH("Total Non Operating Revenue",'Prior Year Data Pull'!$A$1:$CB$1,0)),"")</f>
        <v>48697484.130000003</v>
      </c>
      <c r="AH49" s="47">
        <f>IFERROR(INDEX('Prior Year Data Pull'!$A$2:$CB$593,MATCH(C49,'Prior Year Data Pull'!$A$2:$A$593,0),MATCH("Less Accumulated Depreciation",'Prior Year Data Pull'!$A$1:$CB$1,0)),"")</f>
        <v>727312348.87</v>
      </c>
      <c r="AI49" s="47">
        <f>IFERROR(INDEX('Prior Year Data Pull'!$A$2:$CB$593,MATCH(C49,'Prior Year Data Pull'!$A$2:$A$593,0),MATCH("Depreciation and Amortization Expense",'Prior Year Data Pull'!$A$1:$CB$1,0)),"")</f>
        <v>53441744.229999997</v>
      </c>
      <c r="AJ49" s="47">
        <f>IFERROR(INDEX('Prior Year Data Pull'!$A$2:$CB$593,MATCH(C49,'Prior Year Data Pull'!$A$2:$A$593,0),MATCH("Net Patient Accounts Receivable",'Prior Year Data Pull'!$A$1:$CB$1,0)),"")</f>
        <v>124937868.00399999</v>
      </c>
      <c r="AK49" s="46">
        <v>365</v>
      </c>
      <c r="AL49" s="47">
        <f>IFERROR(INDEX('Prior Year Data Pull'!$A$2:$CB$593,MATCH(C49,'Prior Year Data Pull'!$A$2:$A$593,0),MATCH("Estimated Third Party Settlements",'Prior Year Data Pull'!$A$1:$CB$1,0)),"")</f>
        <v>2586922.3420000002</v>
      </c>
      <c r="AM49" s="47">
        <f>IFERROR(INDEX('Prior Year Data Pull'!$A$2:$CB$593,MATCH(C49,'Prior Year Data Pull'!$A$2:$A$593,0),MATCH("Current Liabilities due to Affiliates",'Prior Year Data Pull'!$A$1:$CB$1,0)),"")</f>
        <v>19034654.855999999</v>
      </c>
      <c r="AN49" s="47">
        <f>IFERROR(INDEX('Prior Year Data Pull'!$A$2:$CB$593,MATCH(C49,'Prior Year Data Pull'!$A$2:$A$593,0),MATCH("Short Term Investments",'Prior Year Data Pull'!$A$1:$CB$1,0)),"")</f>
        <v>2193438.46</v>
      </c>
      <c r="AO49" s="47">
        <f>IFERROR(INDEX('Prior Year Data Pull'!$A$2:$CB$593,MATCH(C49,'Prior Year Data Pull'!$A$2:$A$593,0),MATCH("Cash and Cash Equivalents",'Prior Year Data Pull'!$A$1:$CB$1,0)),"")</f>
        <v>41887439.081</v>
      </c>
      <c r="AP49" s="47">
        <f>IFERROR(INDEX('Prior Year Data Pull'!$A$2:$CB$593,MATCH(C49,'Prior Year Data Pull'!$A$2:$A$593,0),MATCH("Interest Expense",'Prior Year Data Pull'!$A$1:$CB$1,0)),"")</f>
        <v>6627642.8499999996</v>
      </c>
      <c r="AQ49" s="47">
        <f>IFERROR(INDEX('Prior Year Data Pull'!$A$2:$CB$593,MATCH(C49,'Prior Year Data Pull'!$A$2:$A$593,0),MATCH("Long Term Debt Net of Current Portion",'Prior Year Data Pull'!$A$1:$CB$1,0)),"")</f>
        <v>199967268.68000001</v>
      </c>
      <c r="AR49" s="47">
        <f>IFERROR(INDEX('Prior Year Data Pull'!$A$2:$CB$593,MATCH(C49,'Prior Year Data Pull'!$A$2:$A$593,0),MATCH("Total Assets",'Prior Year Data Pull'!$A$1:$CB$1,0)),"")</f>
        <v>1240071776.24</v>
      </c>
      <c r="AS49" s="47">
        <f>IFERROR(INDEX('Prior Year Data Pull'!$A$2:$CB$593,MATCH(C49,'Prior Year Data Pull'!$A$2:$A$593,0),MATCH("Long Term Debt Net of Current Portion",'Prior Year Data Pull'!$A$1:$CB$1,0)),"")</f>
        <v>199967268.68000001</v>
      </c>
      <c r="AT49" s="47">
        <f>IFERROR(INDEX('Prior Year Data Pull'!$A$2:$CB$593,MATCH(C49,'Prior Year Data Pull'!$A$2:$A$593,0),MATCH("Net Unrestricted Assets",'Prior Year Data Pull'!$A$1:$CB$1,0)),"")</f>
        <v>655336033.61300099</v>
      </c>
      <c r="AU49" s="47">
        <f>IFERROR(INDEX('Prior Year Data Pull'!$A$2:$CB$593,MATCH(C49,'Prior Year Data Pull'!$A$2:$A$593,0),MATCH("Unrealized Gains/Losses",'Prior Year Data Pull'!$A$1:$CB$1,0)),"")</f>
        <v>27080677.670000002</v>
      </c>
      <c r="AV49" s="47">
        <f>IFERROR(INDEX('Prior Year Data Pull'!$A$2:$CB$593,MATCH(C49,'Prior Year Data Pull'!$A$2:$A$593,0),MATCH("Salary and Benefit Expense",'Prior Year Data Pull'!$A$1:$CB$1,0)),"")</f>
        <v>597941282.89999998</v>
      </c>
    </row>
    <row r="50" spans="1:48" ht="34.200000000000003" x14ac:dyDescent="0.3">
      <c r="A50" s="14" t="str">
        <f>IFERROR(INDEX('Static Data Tab'!$N$2:$N$610,MATCH(D50,'Static Data Tab'!$D$2:$D$610,0)), "")</f>
        <v>UMass Memorial Health Care</v>
      </c>
      <c r="B50" s="14" t="s">
        <v>201</v>
      </c>
      <c r="C50" s="14">
        <v>3115</v>
      </c>
      <c r="D50" s="14">
        <v>6755</v>
      </c>
      <c r="E50" s="14" t="str">
        <f>IFERROR(INDEX('Prior Year Data Pull'!$A$1:$CB$593,MATCH(C50,'Prior Year Data Pull'!$A$1:$A$593,0),MATCH("Organization Type",'Prior Year Data Pull'!$A$1:$CB$1,0)),"")</f>
        <v>AcuteHospital</v>
      </c>
      <c r="F50" s="14" t="str">
        <f>IFERROR(INDEX('Static Data Tab'!$E$2:$E$610,MATCH(C50,'Static Data Tab'!$B$2:$B$610,0)), "-")</f>
        <v>Academic Medical Center</v>
      </c>
      <c r="G50" s="14" t="str">
        <f>IFERROR(INDEX('Static Data Tab'!$J$2:$J$610,MATCH(C50,'Static Data Tab'!$B$2:$B$610,0)), "")</f>
        <v>Central Massachusetts</v>
      </c>
      <c r="H50" s="14" t="str">
        <f>IFERROR(INDEX('Static Data Tab'!$F$2:$F$610,MATCH(C50,'Static Data Tab'!$B$2:$B$610,0)), "")</f>
        <v>x</v>
      </c>
      <c r="I50" s="14" t="str">
        <f>IFERROR(INDEX('Static Data Tab'!$G$2:$G$610,MATCH(C50,'Static Data Tab'!$B$2:$B$610,0)), "")</f>
        <v>x</v>
      </c>
      <c r="J50" s="14" t="str">
        <f>IFERROR(INDEX('Prior Year Data Pull'!$A$2:$CB$593,MATCH(C50,'Prior Year Data Pull'!$A$2:$A$593,0),MATCH("Quarter Range",'Prior Year Data Pull'!$A$1:$CB$1,0)),"")</f>
        <v xml:space="preserve">10/01/2024-09/30/2025
</v>
      </c>
      <c r="K50" s="37">
        <f t="shared" si="0"/>
        <v>-3.5283996968090911E-2</v>
      </c>
      <c r="L50" s="37">
        <f t="shared" si="1"/>
        <v>6.3799577171969922E-3</v>
      </c>
      <c r="M50" s="37">
        <f t="shared" si="2"/>
        <v>-2.890403925089392E-2</v>
      </c>
      <c r="N50" s="38">
        <f t="shared" si="3"/>
        <v>-83931000</v>
      </c>
      <c r="O50" s="39">
        <f t="shared" si="4"/>
        <v>0.95930094358362306</v>
      </c>
      <c r="P50" s="38">
        <f>IFERROR(INDEX('Prior Year Data Pull'!$A$2:$CB$593,MATCH('Prior Year Data Table'!$C50,'Prior Year Data Pull'!$A$2:$A$593,0),MATCH("Total Net Assets or Equity",'Prior Year Data Pull'!$A$1:$CB$1,0)),"")</f>
        <v>226797000</v>
      </c>
      <c r="Q50" s="38">
        <f>IFERROR(INDEX('Prior Year Data Pull'!$A$2:$CB$593,MATCH('Prior Year Data Table'!$C50,'Prior Year Data Pull'!$A$2:$A$593,0),MATCH("Total Operating Revenue",'Prior Year Data Pull'!$A$1:$CB$1,0)),"")</f>
        <v>2885255000</v>
      </c>
      <c r="R50" s="38">
        <f>IFERROR(INDEX('Prior Year Data Pull'!$A$2:$CB$593,MATCH('Prior Year Data Table'!$C50,'Prior Year Data Pull'!$A$2:$A$593,0),MATCH("Total Unrestricted Revenue Gains and Other Support",'Prior Year Data Pull'!$A$1:$CB$1,0)),"")</f>
        <v>2903781000</v>
      </c>
      <c r="S50" s="38">
        <f>IFERROR(INDEX('Prior Year TS Data Pull'!$K$2:$K$607,MATCH(C50,'Prior Year TS Data Pull'!$A$2:$A$607,0))+INDEX('Prior Year TS Data Pull'!$O$2:$O$119,MATCH(C50,'Prior Year TS Data Pull'!$A$2:$A$607,0))+INDEX('Prior Year TS Data Pull'!$S$2:$S$119,MATCH(C50,'Prior Year TS Data Pull'!$A$2:$A$607,0)),"")</f>
        <v>11959285.789999999</v>
      </c>
      <c r="T50" s="38">
        <f>IF(INDEX('Prior Year TS Data Pull'!$A$1:$O$607,MATCH(C50,'Prior Year TS Data Pull'!$A$1:$A$607,0),MATCH("Temporary RN Staffing:
Line Reported on in Standardized Financials",'Prior Year TS Data Pull'!$A$1:$O$1,0))="66.1: Salary and Benefit Expense",'Prior Year Data Table'!$AV50-'Prior Year Data Table'!$S50,0)</f>
        <v>0</v>
      </c>
      <c r="U50" s="38">
        <f>IFERROR(INDEX('Prior Year Data Pull'!$A$2:$CB$593,MATCH(C50,'Prior Year Data Pull'!$A$2:$A$593,0),MATCH("Total Expenses Including Nonrecurring Gains Losses",'Prior Year Data Pull'!$A$1:$CB$1,0)),"")</f>
        <v>2987712000</v>
      </c>
      <c r="V50" s="41">
        <f t="shared" si="5"/>
        <v>11.83398728594458</v>
      </c>
      <c r="W50" s="41">
        <f t="shared" si="6"/>
        <v>39.145108834950094</v>
      </c>
      <c r="X50" s="41">
        <f t="shared" si="7"/>
        <v>600.52194624289598</v>
      </c>
      <c r="Y50" s="37">
        <f t="shared" si="8"/>
        <v>-3.9825789285488928E-3</v>
      </c>
      <c r="Z50" s="41">
        <f t="shared" si="9"/>
        <v>3.2403272052507259</v>
      </c>
      <c r="AA50" s="39">
        <f t="shared" si="10"/>
        <v>9.3009330871712995E-2</v>
      </c>
      <c r="AB50" s="37">
        <f t="shared" si="11"/>
        <v>4.2370919713331158E-2</v>
      </c>
      <c r="AC50" s="37">
        <f t="shared" si="12"/>
        <v>0</v>
      </c>
      <c r="AD50" s="38">
        <f>IFERROR(INDEX('Prior Year Data Pull'!$A$2:$CB$593,MATCH(C50,'Prior Year Data Pull'!$A$2:$A$593,0),MATCH("Net Patient Service Revenue",'Prior Year Data Pull'!$A$1:$CB$1,0)),"")</f>
        <v>2707678000</v>
      </c>
      <c r="AE50" s="38">
        <f>IFERROR(INDEX('Prior Year Data Pull'!$A$2:$CB$593,MATCH(C50,'Prior Year Data Pull'!$A$2:$A$593,0),MATCH("Total Current Assets",'Prior Year Data Pull'!$A$1:$CB$1,0)),"")</f>
        <v>4616843000</v>
      </c>
      <c r="AF50" s="38">
        <f>IFERROR(INDEX('Prior Year Data Pull'!$A$2:$CB$593,MATCH(C50,'Prior Year Data Pull'!$A$2:$A$593,0),MATCH("Total Current Liabilities",'Prior Year Data Pull'!$A$1:$CB$1,0)),"")</f>
        <v>4812716000</v>
      </c>
      <c r="AG50" s="38">
        <f>IFERROR(INDEX('Prior Year Data Pull'!$A$2:$CB$593,MATCH(C50,'Prior Year Data Pull'!$A$2:$A$593,0),MATCH("Total Non Operating Revenue",'Prior Year Data Pull'!$A$1:$CB$1,0)),"")</f>
        <v>18526000</v>
      </c>
      <c r="AH50" s="38">
        <f>IFERROR(INDEX('Prior Year Data Pull'!$A$2:$CB$593,MATCH(C50,'Prior Year Data Pull'!$A$2:$A$593,0),MATCH("Less Accumulated Depreciation",'Prior Year Data Pull'!$A$1:$CB$1,0)),"")</f>
        <v>778132000</v>
      </c>
      <c r="AI50" s="38">
        <f>IFERROR(INDEX('Prior Year Data Pull'!$A$2:$CB$593,MATCH(C50,'Prior Year Data Pull'!$A$2:$A$593,0),MATCH("Depreciation and Amortization Expense",'Prior Year Data Pull'!$A$1:$CB$1,0)),"")</f>
        <v>65754000</v>
      </c>
      <c r="AJ50" s="38">
        <f>IFERROR(INDEX('Prior Year Data Pull'!$A$2:$CB$593,MATCH(C50,'Prior Year Data Pull'!$A$2:$A$593,0),MATCH("Net Patient Accounts Receivable",'Prior Year Data Pull'!$A$1:$CB$1,0)),"")</f>
        <v>290390000</v>
      </c>
      <c r="AK50" s="14">
        <v>365</v>
      </c>
      <c r="AL50" s="38">
        <f>IFERROR(INDEX('Prior Year Data Pull'!$A$2:$CB$593,MATCH(C50,'Prior Year Data Pull'!$A$2:$A$593,0),MATCH("Estimated Third Party Settlements",'Prior Year Data Pull'!$A$1:$CB$1,0)),"")</f>
        <v>5319000</v>
      </c>
      <c r="AM50" s="38">
        <f>IFERROR(INDEX('Prior Year Data Pull'!$A$2:$CB$593,MATCH(C50,'Prior Year Data Pull'!$A$2:$A$593,0),MATCH("Current Liabilities due to Affiliates",'Prior Year Data Pull'!$A$1:$CB$1,0)),"")</f>
        <v>4564128000</v>
      </c>
      <c r="AN50" s="38">
        <f>IFERROR(INDEX('Prior Year Data Pull'!$A$2:$CB$593,MATCH(C50,'Prior Year Data Pull'!$A$2:$A$593,0),MATCH("Short Term Investments",'Prior Year Data Pull'!$A$1:$CB$1,0)),"")</f>
        <v>0</v>
      </c>
      <c r="AO50" s="38">
        <f>IFERROR(INDEX('Prior Year Data Pull'!$A$2:$CB$593,MATCH(C50,'Prior Year Data Pull'!$A$2:$A$593,0),MATCH("Cash and Cash Equivalents",'Prior Year Data Pull'!$A$1:$CB$1,0)),"")</f>
        <v>25940000</v>
      </c>
      <c r="AP50" s="38">
        <f>IFERROR(INDEX('Prior Year Data Pull'!$A$2:$CB$593,MATCH(C50,'Prior Year Data Pull'!$A$2:$A$593,0),MATCH("Interest Expense",'Prior Year Data Pull'!$A$1:$CB$1,0)),"")</f>
        <v>20041000</v>
      </c>
      <c r="AQ50" s="38">
        <f>IFERROR(INDEX('Prior Year Data Pull'!$A$2:$CB$593,MATCH(C50,'Prior Year Data Pull'!$A$2:$A$593,0),MATCH("Long Term Debt Net of Current Portion",'Prior Year Data Pull'!$A$1:$CB$1,0)),"")</f>
        <v>0</v>
      </c>
      <c r="AR50" s="38">
        <f>IFERROR(INDEX('Prior Year Data Pull'!$A$2:$CB$593,MATCH(C50,'Prior Year Data Pull'!$A$2:$A$593,0),MATCH("Total Assets",'Prior Year Data Pull'!$A$1:$CB$1,0)),"")</f>
        <v>5352657000</v>
      </c>
      <c r="AS50" s="38">
        <f>IFERROR(INDEX('Prior Year Data Pull'!$A$2:$CB$593,MATCH(C50,'Prior Year Data Pull'!$A$2:$A$593,0),MATCH("Long Term Debt Net of Current Portion",'Prior Year Data Pull'!$A$1:$CB$1,0)),"")</f>
        <v>0</v>
      </c>
      <c r="AT50" s="38">
        <f>IFERROR(INDEX('Prior Year Data Pull'!$A$2:$CB$593,MATCH(C50,'Prior Year Data Pull'!$A$2:$A$593,0),MATCH("Net Unrestricted Assets",'Prior Year Data Pull'!$A$1:$CB$1,0)),"")</f>
        <v>136915000</v>
      </c>
      <c r="AU50" s="38">
        <f>IFERROR(INDEX('Prior Year Data Pull'!$A$2:$CB$593,MATCH(C50,'Prior Year Data Pull'!$A$2:$A$593,0),MATCH("Unrealized Gains/Losses",'Prior Year Data Pull'!$A$1:$CB$1,0)),"")</f>
        <v>0</v>
      </c>
      <c r="AV50" s="38">
        <f>IFERROR(INDEX('Prior Year Data Pull'!$A$2:$CB$593,MATCH(C50,'Prior Year Data Pull'!$A$2:$A$593,0),MATCH("Salary and Benefit Expense",'Prior Year Data Pull'!$A$1:$CB$1,0)),"")</f>
        <v>1086940000</v>
      </c>
    </row>
    <row r="51" spans="1:48" ht="34.200000000000003" x14ac:dyDescent="0.3">
      <c r="A51" s="46" t="str">
        <f>IFERROR(INDEX('Static Data Tab'!$N$2:$N$610,MATCH(D51,'Static Data Tab'!$D$2:$D$610,0)), "")</f>
        <v>Beth Israel Lahey Health</v>
      </c>
      <c r="B51" s="46" t="s">
        <v>90</v>
      </c>
      <c r="C51" s="46">
        <v>16665</v>
      </c>
      <c r="D51" s="46">
        <v>16665</v>
      </c>
      <c r="E51" s="46" t="str">
        <f>IFERROR(INDEX('Prior Year Data Pull'!$A$1:$CB$593,MATCH(C51,'Prior Year Data Pull'!$A$1:$A$593,0),MATCH("Organization Type",'Prior Year Data Pull'!$A$1:$CB$1,0)),"")</f>
        <v>HHS</v>
      </c>
      <c r="F51" s="46" t="str">
        <f>IFERROR(INDEX('Static Data Tab'!$E$2:$E$610,MATCH(C51,'Static Data Tab'!$B$2:$B$610,0)), "-")</f>
        <v>-</v>
      </c>
      <c r="G51" s="46" t="str">
        <f>IFERROR(INDEX('Static Data Tab'!$J$2:$J$610,MATCH(C51,'Static Data Tab'!$B$2:$B$610,0)), "")</f>
        <v/>
      </c>
      <c r="H51" s="46" t="str">
        <f>IFERROR(INDEX('Static Data Tab'!$F$2:$F$610,MATCH(C51,'Static Data Tab'!$B$2:$B$610,0)), "")</f>
        <v/>
      </c>
      <c r="I51" s="46" t="str">
        <f>IFERROR(INDEX('Static Data Tab'!$G$2:$G$610,MATCH(C51,'Static Data Tab'!$B$2:$B$610,0)), "")</f>
        <v/>
      </c>
      <c r="J51" s="46" t="str">
        <f>IFERROR(INDEX('Prior Year Data Pull'!$A$2:$CB$593,MATCH(C51,'Prior Year Data Pull'!$A$2:$A$593,0),MATCH("Quarter Range",'Prior Year Data Pull'!$A$1:$CB$1,0)),"")</f>
        <v xml:space="preserve">10/01/2024-09/30/2025
</v>
      </c>
      <c r="K51" s="45">
        <f t="shared" si="0"/>
        <v>9.3652048472944848E-3</v>
      </c>
      <c r="L51" s="45">
        <f t="shared" si="1"/>
        <v>2.8392417580696903E-2</v>
      </c>
      <c r="M51" s="45">
        <f t="shared" si="2"/>
        <v>3.775762242799139E-2</v>
      </c>
      <c r="N51" s="47">
        <f t="shared" si="3"/>
        <v>376173000</v>
      </c>
      <c r="O51" s="265">
        <f t="shared" si="4"/>
        <v>2.9639889215456954</v>
      </c>
      <c r="P51" s="47">
        <f>IFERROR(INDEX('Prior Year Data Pull'!$A$2:$CB$593,MATCH('Prior Year Data Table'!$C51,'Prior Year Data Pull'!$A$2:$A$593,0),MATCH("Total Net Assets or Equity",'Prior Year Data Pull'!$A$1:$CB$1,0)),"")</f>
        <v>4793724000</v>
      </c>
      <c r="Q51" s="47">
        <f>IFERROR(INDEX('Prior Year Data Pull'!$A$2:$CB$593,MATCH('Prior Year Data Table'!$C51,'Prior Year Data Pull'!$A$2:$A$593,0),MATCH("Total Operating Revenue",'Prior Year Data Pull'!$A$1:$CB$1,0)),"")</f>
        <v>9679967000</v>
      </c>
      <c r="R51" s="47">
        <f>IFERROR(INDEX('Prior Year Data Pull'!$A$2:$CB$593,MATCH('Prior Year Data Table'!$C51,'Prior Year Data Pull'!$A$2:$A$593,0),MATCH("Total Unrestricted Revenue Gains and Other Support",'Prior Year Data Pull'!$A$1:$CB$1,0)),"")</f>
        <v>9962836000</v>
      </c>
      <c r="S51" s="47">
        <f>IFERROR(INDEX('Prior Year TS Data Pull'!$K$2:$K$607,MATCH(C51,'Prior Year TS Data Pull'!$A$2:$A$607,0))+INDEX('Prior Year TS Data Pull'!$O$2:$O$119,MATCH(C51,'Prior Year TS Data Pull'!$A$2:$A$607,0))+INDEX('Prior Year TS Data Pull'!$S$2:$S$119,MATCH(C51,'Prior Year TS Data Pull'!$A$2:$A$607,0)),"")</f>
        <v>46373317.976932161</v>
      </c>
      <c r="T51" s="47">
        <f>IF(INDEX('Prior Year TS Data Pull'!$A$1:$O$607,MATCH(C51,'Prior Year TS Data Pull'!$A$1:$A$607,0),MATCH("Temporary RN Staffing:
Line Reported on in Standardized Financials",'Prior Year TS Data Pull'!$A$1:$O$1,0))="66.1: Salary and Benefit Expense",'Prior Year Data Table'!$AV51-'Prior Year Data Table'!$S51,0)</f>
        <v>5427868682.0230675</v>
      </c>
      <c r="U51" s="47">
        <f>IFERROR(INDEX('Prior Year Data Pull'!$A$2:$CB$593,MATCH(C51,'Prior Year Data Pull'!$A$2:$A$593,0),MATCH("Total Expenses Including Nonrecurring Gains Losses",'Prior Year Data Pull'!$A$1:$CB$1,0)),"")</f>
        <v>9586663000</v>
      </c>
      <c r="V51" s="266">
        <f t="shared" si="5"/>
        <v>16.797286819301174</v>
      </c>
      <c r="W51" s="266">
        <f t="shared" si="6"/>
        <v>41.307586465620759</v>
      </c>
      <c r="X51" s="266">
        <f t="shared" si="7"/>
        <v>50.643478788377287</v>
      </c>
      <c r="Y51" s="45">
        <f t="shared" si="8"/>
        <v>0.17826049950147127</v>
      </c>
      <c r="Z51" s="266">
        <f t="shared" si="9"/>
        <v>120.49352742163225</v>
      </c>
      <c r="AA51" s="265">
        <f t="shared" si="10"/>
        <v>0.20091983363009125</v>
      </c>
      <c r="AB51" s="45">
        <f t="shared" si="11"/>
        <v>0.4630252473401319</v>
      </c>
      <c r="AC51" s="45">
        <f t="shared" si="12"/>
        <v>0.43053745970969115</v>
      </c>
      <c r="AD51" s="47">
        <f>IFERROR(INDEX('Prior Year Data Pull'!$A$2:$CB$593,MATCH(C51,'Prior Year Data Pull'!$A$2:$A$593,0),MATCH("Net Patient Service Revenue",'Prior Year Data Pull'!$A$1:$CB$1,0)),"")</f>
        <v>7564972000</v>
      </c>
      <c r="AE51" s="47">
        <f>IFERROR(INDEX('Prior Year Data Pull'!$A$2:$CB$593,MATCH(C51,'Prior Year Data Pull'!$A$2:$A$593,0),MATCH("Total Current Assets",'Prior Year Data Pull'!$A$1:$CB$1,0)),"")</f>
        <v>4371691000</v>
      </c>
      <c r="AF51" s="47">
        <f>IFERROR(INDEX('Prior Year Data Pull'!$A$2:$CB$593,MATCH(C51,'Prior Year Data Pull'!$A$2:$A$593,0),MATCH("Total Current Liabilities",'Prior Year Data Pull'!$A$1:$CB$1,0)),"")</f>
        <v>1474935000</v>
      </c>
      <c r="AG51" s="47">
        <f>IFERROR(INDEX('Prior Year Data Pull'!$A$2:$CB$593,MATCH(C51,'Prior Year Data Pull'!$A$2:$A$593,0),MATCH("Total Non Operating Revenue",'Prior Year Data Pull'!$A$1:$CB$1,0)),"")</f>
        <v>282869000</v>
      </c>
      <c r="AH51" s="47">
        <f>IFERROR(INDEX('Prior Year Data Pull'!$A$2:$CB$593,MATCH(C51,'Prior Year Data Pull'!$A$2:$A$593,0),MATCH("Less Accumulated Depreciation",'Prior Year Data Pull'!$A$1:$CB$1,0)),"")</f>
        <v>5415882000</v>
      </c>
      <c r="AI51" s="47">
        <f>IFERROR(INDEX('Prior Year Data Pull'!$A$2:$CB$593,MATCH(C51,'Prior Year Data Pull'!$A$2:$A$593,0),MATCH("Depreciation and Amortization Expense",'Prior Year Data Pull'!$A$1:$CB$1,0)),"")</f>
        <v>322426000</v>
      </c>
      <c r="AJ51" s="47">
        <f>IFERROR(INDEX('Prior Year Data Pull'!$A$2:$CB$593,MATCH(C51,'Prior Year Data Pull'!$A$2:$A$593,0),MATCH("Net Patient Accounts Receivable",'Prior Year Data Pull'!$A$1:$CB$1,0)),"")</f>
        <v>856139000</v>
      </c>
      <c r="AK51" s="46">
        <v>365</v>
      </c>
      <c r="AL51" s="47">
        <f>IFERROR(INDEX('Prior Year Data Pull'!$A$2:$CB$593,MATCH(C51,'Prior Year Data Pull'!$A$2:$A$593,0),MATCH("Estimated Third Party Settlements",'Prior Year Data Pull'!$A$1:$CB$1,0)),"")</f>
        <v>189529000</v>
      </c>
      <c r="AM51" s="47">
        <f>IFERROR(INDEX('Prior Year Data Pull'!$A$2:$CB$593,MATCH(C51,'Prior Year Data Pull'!$A$2:$A$593,0),MATCH("Current Liabilities due to Affiliates",'Prior Year Data Pull'!$A$1:$CB$1,0)),"")</f>
        <v>0</v>
      </c>
      <c r="AN51" s="47">
        <f>IFERROR(INDEX('Prior Year Data Pull'!$A$2:$CB$593,MATCH(C51,'Prior Year Data Pull'!$A$2:$A$593,0),MATCH("Short Term Investments",'Prior Year Data Pull'!$A$1:$CB$1,0)),"")</f>
        <v>2395469000</v>
      </c>
      <c r="AO51" s="47">
        <f>IFERROR(INDEX('Prior Year Data Pull'!$A$2:$CB$593,MATCH(C51,'Prior Year Data Pull'!$A$2:$A$593,0),MATCH("Cash and Cash Equivalents",'Prior Year Data Pull'!$A$1:$CB$1,0)),"")</f>
        <v>662834000</v>
      </c>
      <c r="AP51" s="47">
        <f>IFERROR(INDEX('Prior Year Data Pull'!$A$2:$CB$593,MATCH(C51,'Prior Year Data Pull'!$A$2:$A$593,0),MATCH("Interest Expense",'Prior Year Data Pull'!$A$1:$CB$1,0)),"")</f>
        <v>79292000</v>
      </c>
      <c r="AQ51" s="47">
        <f>IFERROR(INDEX('Prior Year Data Pull'!$A$2:$CB$593,MATCH(C51,'Prior Year Data Pull'!$A$2:$A$593,0),MATCH("Long Term Debt Net of Current Portion",'Prior Year Data Pull'!$A$1:$CB$1,0)),"")</f>
        <v>2796228000</v>
      </c>
      <c r="AR51" s="47">
        <f>IFERROR(INDEX('Prior Year Data Pull'!$A$2:$CB$593,MATCH(C51,'Prior Year Data Pull'!$A$2:$A$593,0),MATCH("Total Assets",'Prior Year Data Pull'!$A$1:$CB$1,0)),"")</f>
        <v>10353051000</v>
      </c>
      <c r="AS51" s="47">
        <f>IFERROR(INDEX('Prior Year Data Pull'!$A$2:$CB$593,MATCH(C51,'Prior Year Data Pull'!$A$2:$A$593,0),MATCH("Long Term Debt Net of Current Portion",'Prior Year Data Pull'!$A$1:$CB$1,0)),"")</f>
        <v>2796228000</v>
      </c>
      <c r="AT51" s="47">
        <f>IFERROR(INDEX('Prior Year Data Pull'!$A$2:$CB$593,MATCH(C51,'Prior Year Data Pull'!$A$2:$A$593,0),MATCH("Net Unrestricted Assets",'Prior Year Data Pull'!$A$1:$CB$1,0)),"")</f>
        <v>3698510000</v>
      </c>
      <c r="AU51" s="47">
        <f>IFERROR(INDEX('Prior Year Data Pull'!$A$2:$CB$593,MATCH(C51,'Prior Year Data Pull'!$A$2:$A$593,0),MATCH("Unrealized Gains/Losses",'Prior Year Data Pull'!$A$1:$CB$1,0)),"")</f>
        <v>200142000</v>
      </c>
      <c r="AV51" s="47">
        <f>IFERROR(INDEX('Prior Year Data Pull'!$A$2:$CB$593,MATCH(C51,'Prior Year Data Pull'!$A$2:$A$593,0),MATCH("Salary and Benefit Expense",'Prior Year Data Pull'!$A$1:$CB$1,0)),"")</f>
        <v>5474242000</v>
      </c>
    </row>
    <row r="52" spans="1:48" ht="34.200000000000003" x14ac:dyDescent="0.3">
      <c r="A52" s="14" t="str">
        <f>IFERROR(INDEX('Static Data Tab'!$N$2:$N$610,MATCH(D52,'Static Data Tab'!$D$2:$D$610,0)), "")</f>
        <v>Boston Children's Hospital and Subsid.</v>
      </c>
      <c r="B52" s="14" t="s">
        <v>113</v>
      </c>
      <c r="C52" s="14">
        <v>14286</v>
      </c>
      <c r="D52" s="14">
        <v>14286</v>
      </c>
      <c r="E52" s="14" t="str">
        <f>IFERROR(INDEX('Prior Year Data Pull'!$A$1:$CB$593,MATCH(C52,'Prior Year Data Pull'!$A$1:$A$593,0),MATCH("Organization Type",'Prior Year Data Pull'!$A$1:$CB$1,0)),"")</f>
        <v>HHS</v>
      </c>
      <c r="F52" s="14" t="str">
        <f>IFERROR(INDEX('Static Data Tab'!$E$2:$E$610,MATCH(C52,'Static Data Tab'!$B$2:$B$610,0)), "-")</f>
        <v>-</v>
      </c>
      <c r="G52" s="14" t="str">
        <f>IFERROR(INDEX('Static Data Tab'!$J$2:$J$610,MATCH(C52,'Static Data Tab'!$B$2:$B$610,0)), "")</f>
        <v/>
      </c>
      <c r="H52" s="14" t="str">
        <f>IFERROR(INDEX('Static Data Tab'!$F$2:$F$610,MATCH(C52,'Static Data Tab'!$B$2:$B$610,0)), "")</f>
        <v/>
      </c>
      <c r="I52" s="14" t="str">
        <f>IFERROR(INDEX('Static Data Tab'!$G$2:$G$610,MATCH(C52,'Static Data Tab'!$B$2:$B$610,0)), "")</f>
        <v/>
      </c>
      <c r="J52" s="14" t="str">
        <f>IFERROR(INDEX('Prior Year Data Pull'!$A$2:$CB$593,MATCH(C52,'Prior Year Data Pull'!$A$2:$A$593,0),MATCH("Quarter Range",'Prior Year Data Pull'!$A$1:$CB$1,0)),"")</f>
        <v xml:space="preserve">10/01/2024-09/30/2025
</v>
      </c>
      <c r="K52" s="37">
        <f t="shared" si="0"/>
        <v>-2.5182578507362344E-3</v>
      </c>
      <c r="L52" s="37">
        <f t="shared" si="1"/>
        <v>0.13818612659405433</v>
      </c>
      <c r="M52" s="37">
        <f t="shared" si="2"/>
        <v>0.1356678687433181</v>
      </c>
      <c r="N52" s="38">
        <f t="shared" si="3"/>
        <v>704668000</v>
      </c>
      <c r="O52" s="39">
        <f t="shared" si="4"/>
        <v>1.4636632819503019</v>
      </c>
      <c r="P52" s="38">
        <f>IFERROR(INDEX('Prior Year Data Pull'!$A$2:$CB$593,MATCH('Prior Year Data Table'!$C52,'Prior Year Data Pull'!$A$2:$A$593,0),MATCH("Total Net Assets or Equity",'Prior Year Data Pull'!$A$1:$CB$1,0)),"")</f>
        <v>9299458000</v>
      </c>
      <c r="Q52" s="38">
        <f>IFERROR(INDEX('Prior Year Data Pull'!$A$2:$CB$593,MATCH('Prior Year Data Table'!$C52,'Prior Year Data Pull'!$A$2:$A$593,0),MATCH("Total Operating Revenue",'Prior Year Data Pull'!$A$1:$CB$1,0)),"")</f>
        <v>4476319000</v>
      </c>
      <c r="R52" s="38">
        <f>IFERROR(INDEX('Prior Year Data Pull'!$A$2:$CB$593,MATCH('Prior Year Data Table'!$C52,'Prior Year Data Pull'!$A$2:$A$593,0),MATCH("Total Unrestricted Revenue Gains and Other Support",'Prior Year Data Pull'!$A$1:$CB$1,0)),"")</f>
        <v>5194067000</v>
      </c>
      <c r="S52" s="38">
        <f>IFERROR(INDEX('Prior Year TS Data Pull'!$K$2:$K$607,MATCH(C52,'Prior Year TS Data Pull'!$A$2:$A$607,0))+INDEX('Prior Year TS Data Pull'!$O$2:$O$119,MATCH(C52,'Prior Year TS Data Pull'!$A$2:$A$607,0))+INDEX('Prior Year TS Data Pull'!$S$2:$S$119,MATCH(C52,'Prior Year TS Data Pull'!$A$2:$A$607,0)),"")</f>
        <v>17106268.522857185</v>
      </c>
      <c r="T52" s="38">
        <f>IF(INDEX('Prior Year TS Data Pull'!$A$1:$O$607,MATCH(C52,'Prior Year TS Data Pull'!$A$1:$A$607,0),MATCH("Temporary RN Staffing:
Line Reported on in Standardized Financials",'Prior Year TS Data Pull'!$A$1:$O$1,0))="66.1: Salary and Benefit Expense",'Prior Year Data Table'!$AV52-'Prior Year Data Table'!$S52,0)</f>
        <v>2558165731.4771428</v>
      </c>
      <c r="U52" s="38">
        <f>IFERROR(INDEX('Prior Year Data Pull'!$A$2:$CB$593,MATCH(C52,'Prior Year Data Pull'!$A$2:$A$593,0),MATCH("Total Expenses Including Nonrecurring Gains Losses",'Prior Year Data Pull'!$A$1:$CB$1,0)),"")</f>
        <v>4489399000</v>
      </c>
      <c r="V52" s="41">
        <f t="shared" si="5"/>
        <v>1.3684269500301136</v>
      </c>
      <c r="W52" s="41">
        <f t="shared" si="6"/>
        <v>58.564373373793828</v>
      </c>
      <c r="X52" s="41">
        <f t="shared" si="7"/>
        <v>67.885640705368857</v>
      </c>
      <c r="Y52" s="37">
        <f t="shared" si="8"/>
        <v>0.43504680370712556</v>
      </c>
      <c r="Z52" s="41">
        <f t="shared" si="9"/>
        <v>23.808698286166063</v>
      </c>
      <c r="AA52" s="39">
        <f t="shared" si="10"/>
        <v>0.44468001332646817</v>
      </c>
      <c r="AB52" s="37">
        <f t="shared" si="11"/>
        <v>0.58641284230691859</v>
      </c>
      <c r="AC52" s="37">
        <f t="shared" si="12"/>
        <v>0.19636546742663175</v>
      </c>
      <c r="AD52" s="38">
        <f>IFERROR(INDEX('Prior Year Data Pull'!$A$2:$CB$593,MATCH(C52,'Prior Year Data Pull'!$A$2:$A$593,0),MATCH("Net Patient Service Revenue",'Prior Year Data Pull'!$A$1:$CB$1,0)),"")</f>
        <v>3659207000</v>
      </c>
      <c r="AE52" s="38">
        <f>IFERROR(INDEX('Prior Year Data Pull'!$A$2:$CB$593,MATCH(C52,'Prior Year Data Pull'!$A$2:$A$593,0),MATCH("Total Current Assets",'Prior Year Data Pull'!$A$1:$CB$1,0)),"")</f>
        <v>1195245000</v>
      </c>
      <c r="AF52" s="38">
        <f>IFERROR(INDEX('Prior Year Data Pull'!$A$2:$CB$593,MATCH(C52,'Prior Year Data Pull'!$A$2:$A$593,0),MATCH("Total Current Liabilities",'Prior Year Data Pull'!$A$1:$CB$1,0)),"")</f>
        <v>816612000</v>
      </c>
      <c r="AG52" s="38">
        <f>IFERROR(INDEX('Prior Year Data Pull'!$A$2:$CB$593,MATCH(C52,'Prior Year Data Pull'!$A$2:$A$593,0),MATCH("Total Non Operating Revenue",'Prior Year Data Pull'!$A$1:$CB$1,0)),"")</f>
        <v>717748000</v>
      </c>
      <c r="AH52" s="38">
        <f>IFERROR(INDEX('Prior Year Data Pull'!$A$2:$CB$593,MATCH(C52,'Prior Year Data Pull'!$A$2:$A$593,0),MATCH("Less Accumulated Depreciation",'Prior Year Data Pull'!$A$1:$CB$1,0)),"")</f>
        <v>293102000</v>
      </c>
      <c r="AI52" s="38">
        <f>IFERROR(INDEX('Prior Year Data Pull'!$A$2:$CB$593,MATCH(C52,'Prior Year Data Pull'!$A$2:$A$593,0),MATCH("Depreciation and Amortization Expense",'Prior Year Data Pull'!$A$1:$CB$1,0)),"")</f>
        <v>214189000</v>
      </c>
      <c r="AJ52" s="38">
        <f>IFERROR(INDEX('Prior Year Data Pull'!$A$2:$CB$593,MATCH(C52,'Prior Year Data Pull'!$A$2:$A$593,0),MATCH("Net Patient Accounts Receivable",'Prior Year Data Pull'!$A$1:$CB$1,0)),"")</f>
        <v>587121000</v>
      </c>
      <c r="AK52" s="14">
        <v>365</v>
      </c>
      <c r="AL52" s="38">
        <f>IFERROR(INDEX('Prior Year Data Pull'!$A$2:$CB$593,MATCH(C52,'Prior Year Data Pull'!$A$2:$A$593,0),MATCH("Estimated Third Party Settlements",'Prior Year Data Pull'!$A$1:$CB$1,0)),"")</f>
        <v>21474000</v>
      </c>
      <c r="AM52" s="38">
        <f>IFERROR(INDEX('Prior Year Data Pull'!$A$2:$CB$593,MATCH(C52,'Prior Year Data Pull'!$A$2:$A$593,0),MATCH("Current Liabilities due to Affiliates",'Prior Year Data Pull'!$A$1:$CB$1,0)),"")</f>
        <v>0</v>
      </c>
      <c r="AN52" s="38">
        <f>IFERROR(INDEX('Prior Year Data Pull'!$A$2:$CB$593,MATCH(C52,'Prior Year Data Pull'!$A$2:$A$593,0),MATCH("Short Term Investments",'Prior Year Data Pull'!$A$1:$CB$1,0)),"")</f>
        <v>0</v>
      </c>
      <c r="AO52" s="38">
        <f>IFERROR(INDEX('Prior Year Data Pull'!$A$2:$CB$593,MATCH(C52,'Prior Year Data Pull'!$A$2:$A$593,0),MATCH("Cash and Cash Equivalents",'Prior Year Data Pull'!$A$1:$CB$1,0)),"")</f>
        <v>278869000</v>
      </c>
      <c r="AP52" s="38">
        <f>IFERROR(INDEX('Prior Year Data Pull'!$A$2:$CB$593,MATCH(C52,'Prior Year Data Pull'!$A$2:$A$593,0),MATCH("Interest Expense",'Prior Year Data Pull'!$A$1:$CB$1,0)),"")</f>
        <v>35468000</v>
      </c>
      <c r="AQ52" s="38">
        <f>IFERROR(INDEX('Prior Year Data Pull'!$A$2:$CB$593,MATCH(C52,'Prior Year Data Pull'!$A$2:$A$593,0),MATCH("Long Term Debt Net of Current Portion",'Prior Year Data Pull'!$A$1:$CB$1,0)),"")</f>
        <v>2044603000</v>
      </c>
      <c r="AR52" s="38">
        <f>IFERROR(INDEX('Prior Year Data Pull'!$A$2:$CB$593,MATCH(C52,'Prior Year Data Pull'!$A$2:$A$593,0),MATCH("Total Assets",'Prior Year Data Pull'!$A$1:$CB$1,0)),"")</f>
        <v>15858210000</v>
      </c>
      <c r="AS52" s="38">
        <f>IFERROR(INDEX('Prior Year Data Pull'!$A$2:$CB$593,MATCH(C52,'Prior Year Data Pull'!$A$2:$A$593,0),MATCH("Long Term Debt Net of Current Portion",'Prior Year Data Pull'!$A$1:$CB$1,0)),"")</f>
        <v>2044603000</v>
      </c>
      <c r="AT52" s="38">
        <f>IFERROR(INDEX('Prior Year Data Pull'!$A$2:$CB$593,MATCH(C52,'Prior Year Data Pull'!$A$2:$A$593,0),MATCH("Net Unrestricted Assets",'Prior Year Data Pull'!$A$1:$CB$1,0)),"")</f>
        <v>8367630000</v>
      </c>
      <c r="AU52" s="38">
        <f>IFERROR(INDEX('Prior Year Data Pull'!$A$2:$CB$593,MATCH(C52,'Prior Year Data Pull'!$A$2:$A$593,0),MATCH("Unrealized Gains/Losses",'Prior Year Data Pull'!$A$1:$CB$1,0)),"")</f>
        <v>29359000</v>
      </c>
      <c r="AV52" s="38">
        <f>IFERROR(INDEX('Prior Year Data Pull'!$A$2:$CB$593,MATCH(C52,'Prior Year Data Pull'!$A$2:$A$593,0),MATCH("Salary and Benefit Expense",'Prior Year Data Pull'!$A$1:$CB$1,0)),"")</f>
        <v>2575272000</v>
      </c>
    </row>
    <row r="53" spans="1:48" ht="34.200000000000003" x14ac:dyDescent="0.3">
      <c r="A53" s="46" t="str">
        <f>IFERROR(INDEX('Static Data Tab'!$N$2:$N$610,MATCH(D53,'Static Data Tab'!$D$2:$D$610,0)), "")</f>
        <v>Boston Medical Center Health System</v>
      </c>
      <c r="B53" s="46" t="s">
        <v>612</v>
      </c>
      <c r="C53" s="46">
        <v>14287</v>
      </c>
      <c r="D53" s="46">
        <v>14287</v>
      </c>
      <c r="E53" s="46" t="str">
        <f>IFERROR(INDEX('Prior Year Data Pull'!$A$1:$CB$593,MATCH(C53,'Prior Year Data Pull'!$A$1:$A$593,0),MATCH("Organization Type",'Prior Year Data Pull'!$A$1:$CB$1,0)),"")</f>
        <v>HHS</v>
      </c>
      <c r="F53" s="46" t="str">
        <f>IFERROR(INDEX('Static Data Tab'!$E$2:$E$610,MATCH(C53,'Static Data Tab'!$B$2:$B$610,0)), "-")</f>
        <v>-</v>
      </c>
      <c r="G53" s="46" t="str">
        <f>IFERROR(INDEX('Static Data Tab'!$J$2:$J$610,MATCH(C53,'Static Data Tab'!$B$2:$B$610,0)), "")</f>
        <v/>
      </c>
      <c r="H53" s="46" t="str">
        <f>IFERROR(INDEX('Static Data Tab'!$F$2:$F$610,MATCH(C53,'Static Data Tab'!$B$2:$B$610,0)), "")</f>
        <v/>
      </c>
      <c r="I53" s="46" t="str">
        <f>IFERROR(INDEX('Static Data Tab'!$G$2:$G$610,MATCH(C53,'Static Data Tab'!$B$2:$B$610,0)), "")</f>
        <v/>
      </c>
      <c r="J53" s="46" t="str">
        <f>IFERROR(INDEX('Prior Year Data Pull'!$A$2:$CB$593,MATCH(C53,'Prior Year Data Pull'!$A$2:$A$593,0),MATCH("Quarter Range",'Prior Year Data Pull'!$A$1:$CB$1,0)),"")</f>
        <v xml:space="preserve">10/01/2024-09/30/2025
</v>
      </c>
      <c r="K53" s="45">
        <f t="shared" si="0"/>
        <v>-2.7684586053617868E-2</v>
      </c>
      <c r="L53" s="45">
        <f t="shared" si="1"/>
        <v>1.1502967757322161E-2</v>
      </c>
      <c r="M53" s="45">
        <f t="shared" si="2"/>
        <v>-1.6181618296295705E-2</v>
      </c>
      <c r="N53" s="47">
        <f t="shared" si="3"/>
        <v>-144424585</v>
      </c>
      <c r="O53" s="265">
        <f t="shared" si="4"/>
        <v>1.2945371782117134</v>
      </c>
      <c r="P53" s="47">
        <f>IFERROR(INDEX('Prior Year Data Pull'!$A$2:$CB$593,MATCH('Prior Year Data Table'!$C53,'Prior Year Data Pull'!$A$2:$A$593,0),MATCH("Total Net Assets or Equity",'Prior Year Data Pull'!$A$1:$CB$1,0)),"")</f>
        <v>2235529720</v>
      </c>
      <c r="Q53" s="47">
        <f>IFERROR(INDEX('Prior Year Data Pull'!$A$2:$CB$593,MATCH('Prior Year Data Table'!$C53,'Prior Year Data Pull'!$A$2:$A$593,0),MATCH("Total Operating Revenue",'Prior Year Data Pull'!$A$1:$CB$1,0)),"")</f>
        <v>8822558476</v>
      </c>
      <c r="R53" s="47">
        <f>IFERROR(INDEX('Prior Year Data Pull'!$A$2:$CB$593,MATCH('Prior Year Data Table'!$C53,'Prior Year Data Pull'!$A$2:$A$593,0),MATCH("Total Unrestricted Revenue Gains and Other Support",'Prior Year Data Pull'!$A$1:$CB$1,0)),"")</f>
        <v>8925225052</v>
      </c>
      <c r="S53" s="47">
        <f>IFERROR(INDEX('Prior Year TS Data Pull'!$K$2:$K$607,MATCH(C53,'Prior Year TS Data Pull'!$A$2:$A$607,0))+INDEX('Prior Year TS Data Pull'!$O$2:$O$119,MATCH(C53,'Prior Year TS Data Pull'!$A$2:$A$607,0))+INDEX('Prior Year TS Data Pull'!$S$2:$S$119,MATCH(C53,'Prior Year TS Data Pull'!$A$2:$A$607,0)),"")</f>
        <v>8492933.4499999993</v>
      </c>
      <c r="T53" s="47">
        <f>IF(INDEX('Prior Year TS Data Pull'!$A$1:$O$607,MATCH(C53,'Prior Year TS Data Pull'!$A$1:$A$607,0),MATCH("Temporary RN Staffing:
Line Reported on in Standardized Financials",'Prior Year TS Data Pull'!$A$1:$O$1,0))="66.1: Salary and Benefit Expense",'Prior Year Data Table'!$AV53-'Prior Year Data Table'!$S53,0)</f>
        <v>2338267010.5500002</v>
      </c>
      <c r="U53" s="47">
        <f>IFERROR(INDEX('Prior Year Data Pull'!$A$2:$CB$593,MATCH(C53,'Prior Year Data Pull'!$A$2:$A$593,0),MATCH("Total Expenses Including Nonrecurring Gains Losses",'Prior Year Data Pull'!$A$1:$CB$1,0)),"")</f>
        <v>9069649637</v>
      </c>
      <c r="V53" s="266">
        <f t="shared" si="5"/>
        <v>10.508166877494649</v>
      </c>
      <c r="W53" s="266">
        <f t="shared" si="6"/>
        <v>46.735940081219219</v>
      </c>
      <c r="X53" s="266">
        <f t="shared" si="7"/>
        <v>69.403537434867928</v>
      </c>
      <c r="Y53" s="45">
        <f t="shared" si="8"/>
        <v>-1.7758838082119342E-2</v>
      </c>
      <c r="Z53" s="266">
        <f t="shared" si="9"/>
        <v>28.528793822415462</v>
      </c>
      <c r="AA53" s="265">
        <f t="shared" si="10"/>
        <v>8.8874557977228989E-3</v>
      </c>
      <c r="AB53" s="45">
        <f t="shared" si="11"/>
        <v>0.44389475712493476</v>
      </c>
      <c r="AC53" s="45">
        <f t="shared" si="12"/>
        <v>0.33173478567964609</v>
      </c>
      <c r="AD53" s="47">
        <f>IFERROR(INDEX('Prior Year Data Pull'!$A$2:$CB$593,MATCH(C53,'Prior Year Data Pull'!$A$2:$A$593,0),MATCH("Net Patient Service Revenue",'Prior Year Data Pull'!$A$1:$CB$1,0)),"")</f>
        <v>2190323339</v>
      </c>
      <c r="AE53" s="47">
        <f>IFERROR(INDEX('Prior Year Data Pull'!$A$2:$CB$593,MATCH(C53,'Prior Year Data Pull'!$A$2:$A$593,0),MATCH("Total Current Assets",'Prior Year Data Pull'!$A$1:$CB$1,0)),"")</f>
        <v>2201350791</v>
      </c>
      <c r="AF53" s="47">
        <f>IFERROR(INDEX('Prior Year Data Pull'!$A$2:$CB$593,MATCH(C53,'Prior Year Data Pull'!$A$2:$A$593,0),MATCH("Total Current Liabilities",'Prior Year Data Pull'!$A$1:$CB$1,0)),"")</f>
        <v>1700492522</v>
      </c>
      <c r="AG53" s="47">
        <f>IFERROR(INDEX('Prior Year Data Pull'!$A$2:$CB$593,MATCH(C53,'Prior Year Data Pull'!$A$2:$A$593,0),MATCH("Total Non Operating Revenue",'Prior Year Data Pull'!$A$1:$CB$1,0)),"")</f>
        <v>102666576</v>
      </c>
      <c r="AH53" s="47">
        <f>IFERROR(INDEX('Prior Year Data Pull'!$A$2:$CB$593,MATCH(C53,'Prior Year Data Pull'!$A$2:$A$593,0),MATCH("Less Accumulated Depreciation",'Prior Year Data Pull'!$A$1:$CB$1,0)),"")</f>
        <v>1330259697</v>
      </c>
      <c r="AI53" s="47">
        <f>IFERROR(INDEX('Prior Year Data Pull'!$A$2:$CB$593,MATCH(C53,'Prior Year Data Pull'!$A$2:$A$593,0),MATCH("Depreciation and Amortization Expense",'Prior Year Data Pull'!$A$1:$CB$1,0)),"")</f>
        <v>126592936</v>
      </c>
      <c r="AJ53" s="47">
        <f>IFERROR(INDEX('Prior Year Data Pull'!$A$2:$CB$593,MATCH(C53,'Prior Year Data Pull'!$A$2:$A$593,0),MATCH("Net Patient Accounts Receivable",'Prior Year Data Pull'!$A$1:$CB$1,0)),"")</f>
        <v>280457042</v>
      </c>
      <c r="AK53" s="46">
        <v>365</v>
      </c>
      <c r="AL53" s="47">
        <f>IFERROR(INDEX('Prior Year Data Pull'!$A$2:$CB$593,MATCH(C53,'Prior Year Data Pull'!$A$2:$A$593,0),MATCH("Estimated Third Party Settlements",'Prior Year Data Pull'!$A$1:$CB$1,0)),"")</f>
        <v>0</v>
      </c>
      <c r="AM53" s="47">
        <f>IFERROR(INDEX('Prior Year Data Pull'!$A$2:$CB$593,MATCH(C53,'Prior Year Data Pull'!$A$2:$A$593,0),MATCH("Current Liabilities due to Affiliates",'Prior Year Data Pull'!$A$1:$CB$1,0)),"")</f>
        <v>0</v>
      </c>
      <c r="AN53" s="47">
        <f>IFERROR(INDEX('Prior Year Data Pull'!$A$2:$CB$593,MATCH(C53,'Prior Year Data Pull'!$A$2:$A$593,0),MATCH("Short Term Investments",'Prior Year Data Pull'!$A$1:$CB$1,0)),"")</f>
        <v>230000000</v>
      </c>
      <c r="AO53" s="47">
        <f>IFERROR(INDEX('Prior Year Data Pull'!$A$2:$CB$593,MATCH(C53,'Prior Year Data Pull'!$A$2:$A$593,0),MATCH("Cash and Cash Equivalents",'Prior Year Data Pull'!$A$1:$CB$1,0)),"")</f>
        <v>468998961</v>
      </c>
      <c r="AP53" s="47">
        <f>IFERROR(INDEX('Prior Year Data Pull'!$A$2:$CB$593,MATCH(C53,'Prior Year Data Pull'!$A$2:$A$593,0),MATCH("Interest Expense",'Prior Year Data Pull'!$A$1:$CB$1,0)),"")</f>
        <v>24052663</v>
      </c>
      <c r="AQ53" s="47">
        <f>IFERROR(INDEX('Prior Year Data Pull'!$A$2:$CB$593,MATCH(C53,'Prior Year Data Pull'!$A$2:$A$593,0),MATCH("Long Term Debt Net of Current Portion",'Prior Year Data Pull'!$A$1:$CB$1,0)),"")</f>
        <v>894642089</v>
      </c>
      <c r="AR53" s="47">
        <f>IFERROR(INDEX('Prior Year Data Pull'!$A$2:$CB$593,MATCH(C53,'Prior Year Data Pull'!$A$2:$A$593,0),MATCH("Total Assets",'Prior Year Data Pull'!$A$1:$CB$1,0)),"")</f>
        <v>5036170588</v>
      </c>
      <c r="AS53" s="47">
        <f>IFERROR(INDEX('Prior Year Data Pull'!$A$2:$CB$593,MATCH(C53,'Prior Year Data Pull'!$A$2:$A$593,0),MATCH("Long Term Debt Net of Current Portion",'Prior Year Data Pull'!$A$1:$CB$1,0)),"")</f>
        <v>894642089</v>
      </c>
      <c r="AT53" s="47">
        <f>IFERROR(INDEX('Prior Year Data Pull'!$A$2:$CB$593,MATCH(C53,'Prior Year Data Pull'!$A$2:$A$593,0),MATCH("Net Unrestricted Assets",'Prior Year Data Pull'!$A$1:$CB$1,0)),"")</f>
        <v>1802217353</v>
      </c>
      <c r="AU53" s="47">
        <f>IFERROR(INDEX('Prior Year Data Pull'!$A$2:$CB$593,MATCH(C53,'Prior Year Data Pull'!$A$2:$A$593,0),MATCH("Unrealized Gains/Losses",'Prior Year Data Pull'!$A$1:$CB$1,0)),"")</f>
        <v>-1943845</v>
      </c>
      <c r="AV53" s="47">
        <f>IFERROR(INDEX('Prior Year Data Pull'!$A$2:$CB$593,MATCH(C53,'Prior Year Data Pull'!$A$2:$A$593,0),MATCH("Salary and Benefit Expense",'Prior Year Data Pull'!$A$1:$CB$1,0)),"")</f>
        <v>2346759944</v>
      </c>
    </row>
    <row r="54" spans="1:48" ht="34.200000000000003" x14ac:dyDescent="0.3">
      <c r="A54" s="14" t="str">
        <f>IFERROR(INDEX('Static Data Tab'!$N$2:$N$610,MATCH(D54,'Static Data Tab'!$D$2:$D$610,0)), "")</f>
        <v>Berkshire Health Systems</v>
      </c>
      <c r="B54" s="14" t="s">
        <v>86</v>
      </c>
      <c r="C54" s="14">
        <v>6309</v>
      </c>
      <c r="D54" s="14">
        <v>3106</v>
      </c>
      <c r="E54" s="14" t="str">
        <f>IFERROR(INDEX('Prior Year Data Pull'!$A$1:$CB$593,MATCH(C54,'Prior Year Data Pull'!$A$1:$A$593,0),MATCH("Organization Type",'Prior Year Data Pull'!$A$1:$CB$1,0)),"")</f>
        <v>AcuteHospital</v>
      </c>
      <c r="F54" s="14" t="str">
        <f>IFERROR(INDEX('Static Data Tab'!$E$2:$E$610,MATCH(C54,'Static Data Tab'!$B$2:$B$610,0)), "-")</f>
        <v>Teaching Hospital</v>
      </c>
      <c r="G54" s="14" t="str">
        <f>IFERROR(INDEX('Static Data Tab'!$J$2:$J$610,MATCH(C54,'Static Data Tab'!$B$2:$B$610,0)), "")</f>
        <v>Western Massachusetts</v>
      </c>
      <c r="H54" s="14" t="str">
        <f>IFERROR(INDEX('Static Data Tab'!$F$2:$F$610,MATCH(C54,'Static Data Tab'!$B$2:$B$610,0)), "")</f>
        <v>x</v>
      </c>
      <c r="I54" s="14">
        <f>IFERROR(INDEX('Static Data Tab'!$G$2:$G$610,MATCH(C54,'Static Data Tab'!$B$2:$B$610,0)), "")</f>
        <v>0</v>
      </c>
      <c r="J54" s="14" t="str">
        <f>IFERROR(INDEX('Prior Year Data Pull'!$A$2:$CB$593,MATCH(C54,'Prior Year Data Pull'!$A$2:$A$593,0),MATCH("Quarter Range",'Prior Year Data Pull'!$A$1:$CB$1,0)),"")</f>
        <v xml:space="preserve">10/01/2024-09/30/2025
</v>
      </c>
      <c r="K54" s="37">
        <f t="shared" si="0"/>
        <v>0.10670018818588951</v>
      </c>
      <c r="L54" s="37">
        <f t="shared" si="1"/>
        <v>4.0108307091289451E-2</v>
      </c>
      <c r="M54" s="37">
        <f t="shared" si="2"/>
        <v>0.14680849527717896</v>
      </c>
      <c r="N54" s="38">
        <f t="shared" si="3"/>
        <v>117939280</v>
      </c>
      <c r="O54" s="39">
        <f t="shared" si="4"/>
        <v>1.9911890730601005</v>
      </c>
      <c r="P54" s="38">
        <f>IFERROR(INDEX('Prior Year Data Pull'!$A$2:$CB$593,MATCH('Prior Year Data Table'!$C54,'Prior Year Data Pull'!$A$2:$A$593,0),MATCH("Total Net Assets or Equity",'Prior Year Data Pull'!$A$1:$CB$1,0)),"")</f>
        <v>727533703</v>
      </c>
      <c r="Q54" s="38">
        <f>IFERROR(INDEX('Prior Year Data Pull'!$A$2:$CB$593,MATCH('Prior Year Data Table'!$C54,'Prior Year Data Pull'!$A$2:$A$593,0),MATCH("Total Operating Revenue",'Prior Year Data Pull'!$A$1:$CB$1,0)),"")</f>
        <v>771133407</v>
      </c>
      <c r="R54" s="38">
        <f>IFERROR(INDEX('Prior Year Data Pull'!$A$2:$CB$593,MATCH('Prior Year Data Table'!$C54,'Prior Year Data Pull'!$A$2:$A$593,0),MATCH("Total Unrestricted Revenue Gains and Other Support",'Prior Year Data Pull'!$A$1:$CB$1,0)),"")</f>
        <v>803354600</v>
      </c>
      <c r="S54" s="38">
        <f>IFERROR(INDEX('Prior Year TS Data Pull'!$K$2:$K$607,MATCH(C54,'Prior Year TS Data Pull'!$A$2:$A$607,0))+INDEX('Prior Year TS Data Pull'!$O$2:$O$119,MATCH(C54,'Prior Year TS Data Pull'!$A$2:$A$607,0))+INDEX('Prior Year TS Data Pull'!$S$2:$S$119,MATCH(C54,'Prior Year TS Data Pull'!$A$2:$A$607,0)),"")</f>
        <v>11271822.75</v>
      </c>
      <c r="T54" s="38">
        <f>IF(INDEX('Prior Year TS Data Pull'!$A$1:$O$607,MATCH(C54,'Prior Year TS Data Pull'!$A$1:$A$607,0),MATCH("Temporary RN Staffing:
Line Reported on in Standardized Financials",'Prior Year TS Data Pull'!$A$1:$O$1,0))="66.1: Salary and Benefit Expense",'Prior Year Data Table'!$AV54-'Prior Year Data Table'!$S54,0)</f>
        <v>0</v>
      </c>
      <c r="U54" s="38">
        <f>IFERROR(INDEX('Prior Year Data Pull'!$A$2:$CB$593,MATCH(C54,'Prior Year Data Pull'!$A$2:$A$593,0),MATCH("Total Expenses Including Nonrecurring Gains Losses",'Prior Year Data Pull'!$A$1:$CB$1,0)),"")</f>
        <v>685415320</v>
      </c>
      <c r="V54" s="41">
        <f t="shared" si="5"/>
        <v>18.856776479297764</v>
      </c>
      <c r="W54" s="41">
        <f t="shared" si="6"/>
        <v>35.162836783057166</v>
      </c>
      <c r="X54" s="41">
        <f t="shared" si="7"/>
        <v>41.759667802432702</v>
      </c>
      <c r="Y54" s="37">
        <f t="shared" si="8"/>
        <v>4.1111745633780474</v>
      </c>
      <c r="Z54" s="41">
        <f t="shared" si="9"/>
        <v>87.139716891637747</v>
      </c>
      <c r="AA54" s="39">
        <f t="shared" si="10"/>
        <v>4.0767334445235193</v>
      </c>
      <c r="AB54" s="37">
        <f t="shared" si="11"/>
        <v>0.80457974973064528</v>
      </c>
      <c r="AC54" s="37">
        <f t="shared" si="12"/>
        <v>4.6058991897944067E-2</v>
      </c>
      <c r="AD54" s="38">
        <f>IFERROR(INDEX('Prior Year Data Pull'!$A$2:$CB$593,MATCH(C54,'Prior Year Data Pull'!$A$2:$A$593,0),MATCH("Net Patient Service Revenue",'Prior Year Data Pull'!$A$1:$CB$1,0)),"")</f>
        <v>552078396</v>
      </c>
      <c r="AE54" s="38">
        <f>IFERROR(INDEX('Prior Year Data Pull'!$A$2:$CB$593,MATCH(C54,'Prior Year Data Pull'!$A$2:$A$593,0),MATCH("Total Current Assets",'Prior Year Data Pull'!$A$1:$CB$1,0)),"")</f>
        <v>249569179</v>
      </c>
      <c r="AF54" s="38">
        <f>IFERROR(INDEX('Prior Year Data Pull'!$A$2:$CB$593,MATCH(C54,'Prior Year Data Pull'!$A$2:$A$593,0),MATCH("Total Current Liabilities",'Prior Year Data Pull'!$A$1:$CB$1,0)),"")</f>
        <v>125336756</v>
      </c>
      <c r="AG54" s="38">
        <f>IFERROR(INDEX('Prior Year Data Pull'!$A$2:$CB$593,MATCH(C54,'Prior Year Data Pull'!$A$2:$A$593,0),MATCH("Total Non Operating Revenue",'Prior Year Data Pull'!$A$1:$CB$1,0)),"")</f>
        <v>32221193</v>
      </c>
      <c r="AH54" s="38">
        <f>IFERROR(INDEX('Prior Year Data Pull'!$A$2:$CB$593,MATCH(C54,'Prior Year Data Pull'!$A$2:$A$593,0),MATCH("Less Accumulated Depreciation",'Prior Year Data Pull'!$A$1:$CB$1,0)),"")</f>
        <v>329498862</v>
      </c>
      <c r="AI54" s="38">
        <f>IFERROR(INDEX('Prior Year Data Pull'!$A$2:$CB$593,MATCH(C54,'Prior Year Data Pull'!$A$2:$A$593,0),MATCH("Depreciation and Amortization Expense",'Prior Year Data Pull'!$A$1:$CB$1,0)),"")</f>
        <v>17473764</v>
      </c>
      <c r="AJ54" s="38">
        <f>IFERROR(INDEX('Prior Year Data Pull'!$A$2:$CB$593,MATCH(C54,'Prior Year Data Pull'!$A$2:$A$593,0),MATCH("Net Patient Accounts Receivable",'Prior Year Data Pull'!$A$1:$CB$1,0)),"")</f>
        <v>53185322</v>
      </c>
      <c r="AK54" s="14">
        <v>365</v>
      </c>
      <c r="AL54" s="38">
        <f>IFERROR(INDEX('Prior Year Data Pull'!$A$2:$CB$593,MATCH(C54,'Prior Year Data Pull'!$A$2:$A$593,0),MATCH("Estimated Third Party Settlements",'Prior Year Data Pull'!$A$1:$CB$1,0)),"")</f>
        <v>48917530</v>
      </c>
      <c r="AM54" s="38">
        <f>IFERROR(INDEX('Prior Year Data Pull'!$A$2:$CB$593,MATCH(C54,'Prior Year Data Pull'!$A$2:$A$593,0),MATCH("Current Liabilities due to Affiliates",'Prior Year Data Pull'!$A$1:$CB$1,0)),"")</f>
        <v>0</v>
      </c>
      <c r="AN54" s="38">
        <f>IFERROR(INDEX('Prior Year Data Pull'!$A$2:$CB$593,MATCH(C54,'Prior Year Data Pull'!$A$2:$A$593,0),MATCH("Short Term Investments",'Prior Year Data Pull'!$A$1:$CB$1,0)),"")</f>
        <v>0</v>
      </c>
      <c r="AO54" s="38">
        <f>IFERROR(INDEX('Prior Year Data Pull'!$A$2:$CB$593,MATCH(C54,'Prior Year Data Pull'!$A$2:$A$593,0),MATCH("Cash and Cash Equivalents",'Prior Year Data Pull'!$A$1:$CB$1,0)),"")</f>
        <v>159463666</v>
      </c>
      <c r="AP54" s="38">
        <f>IFERROR(INDEX('Prior Year Data Pull'!$A$2:$CB$593,MATCH(C54,'Prior Year Data Pull'!$A$2:$A$593,0),MATCH("Interest Expense",'Prior Year Data Pull'!$A$1:$CB$1,0)),"")</f>
        <v>367006</v>
      </c>
      <c r="AQ54" s="38">
        <f>IFERROR(INDEX('Prior Year Data Pull'!$A$2:$CB$593,MATCH(C54,'Prior Year Data Pull'!$A$2:$A$593,0),MATCH("Long Term Debt Net of Current Portion",'Prior Year Data Pull'!$A$1:$CB$1,0)),"")</f>
        <v>32785800</v>
      </c>
      <c r="AR54" s="38">
        <f>IFERROR(INDEX('Prior Year Data Pull'!$A$2:$CB$593,MATCH(C54,'Prior Year Data Pull'!$A$2:$A$593,0),MATCH("Total Assets",'Prior Year Data Pull'!$A$1:$CB$1,0)),"")</f>
        <v>904240634</v>
      </c>
      <c r="AS54" s="38">
        <f>IFERROR(INDEX('Prior Year Data Pull'!$A$2:$CB$593,MATCH(C54,'Prior Year Data Pull'!$A$2:$A$593,0),MATCH("Long Term Debt Net of Current Portion",'Prior Year Data Pull'!$A$1:$CB$1,0)),"")</f>
        <v>32785800</v>
      </c>
      <c r="AT54" s="38">
        <f>IFERROR(INDEX('Prior Year Data Pull'!$A$2:$CB$593,MATCH(C54,'Prior Year Data Pull'!$A$2:$A$593,0),MATCH("Net Unrestricted Assets",'Prior Year Data Pull'!$A$1:$CB$1,0)),"")</f>
        <v>679036119</v>
      </c>
      <c r="AU54" s="38">
        <f>IFERROR(INDEX('Prior Year Data Pull'!$A$2:$CB$593,MATCH(C54,'Prior Year Data Pull'!$A$2:$A$593,0),MATCH("Unrealized Gains/Losses",'Prior Year Data Pull'!$A$1:$CB$1,0)),"")</f>
        <v>624897</v>
      </c>
      <c r="AV54" s="38">
        <f>IFERROR(INDEX('Prior Year Data Pull'!$A$2:$CB$593,MATCH(C54,'Prior Year Data Pull'!$A$2:$A$593,0),MATCH("Salary and Benefit Expense",'Prior Year Data Pull'!$A$1:$CB$1,0)),"")</f>
        <v>309621003</v>
      </c>
    </row>
    <row r="55" spans="1:48" ht="34.200000000000003" x14ac:dyDescent="0.3">
      <c r="A55" s="46" t="str">
        <f>IFERROR(INDEX('Static Data Tab'!$N$2:$N$610,MATCH(D55,'Static Data Tab'!$D$2:$D$610,0)), "")</f>
        <v>Beth Israel Lahey Health</v>
      </c>
      <c r="B55" s="46" t="s">
        <v>96</v>
      </c>
      <c r="C55" s="46">
        <v>6546</v>
      </c>
      <c r="D55" s="46">
        <v>16665</v>
      </c>
      <c r="E55" s="46" t="str">
        <f>IFERROR(INDEX('Prior Year Data Pull'!$A$1:$CB$593,MATCH(C55,'Prior Year Data Pull'!$A$1:$A$593,0),MATCH("Organization Type",'Prior Year Data Pull'!$A$1:$CB$1,0)),"")</f>
        <v>AcuteHospital</v>
      </c>
      <c r="F55" s="46" t="str">
        <f>IFERROR(INDEX('Static Data Tab'!$E$2:$E$610,MATCH(C55,'Static Data Tab'!$B$2:$B$610,0)), "-")</f>
        <v>Teaching Hospital</v>
      </c>
      <c r="G55" s="46" t="str">
        <f>IFERROR(INDEX('Static Data Tab'!$J$2:$J$610,MATCH(C55,'Static Data Tab'!$B$2:$B$610,0)), "")</f>
        <v>Northeastern Massachusetts</v>
      </c>
      <c r="H55" s="46">
        <f>IFERROR(INDEX('Static Data Tab'!$F$2:$F$610,MATCH(C55,'Static Data Tab'!$B$2:$B$610,0)), "")</f>
        <v>0</v>
      </c>
      <c r="I55" s="46" t="str">
        <f>IFERROR(INDEX('Static Data Tab'!$G$2:$G$610,MATCH(C55,'Static Data Tab'!$B$2:$B$610,0)), "")</f>
        <v>x</v>
      </c>
      <c r="J55" s="46" t="str">
        <f>IFERROR(INDEX('Prior Year Data Pull'!$A$2:$CB$593,MATCH(C55,'Prior Year Data Pull'!$A$2:$A$593,0),MATCH("Quarter Range",'Prior Year Data Pull'!$A$1:$CB$1,0)),"")</f>
        <v xml:space="preserve">10/01/2024-09/30/2025
</v>
      </c>
      <c r="K55" s="45">
        <f t="shared" si="0"/>
        <v>0.1050142517054007</v>
      </c>
      <c r="L55" s="45">
        <f t="shared" si="1"/>
        <v>2.2176436468708521E-2</v>
      </c>
      <c r="M55" s="45">
        <f t="shared" si="2"/>
        <v>0.12719068817410922</v>
      </c>
      <c r="N55" s="47">
        <f t="shared" si="3"/>
        <v>178715000</v>
      </c>
      <c r="O55" s="265">
        <f t="shared" si="4"/>
        <v>2.8554959422030253</v>
      </c>
      <c r="P55" s="47">
        <f>IFERROR(INDEX('Prior Year Data Pull'!$A$2:$CB$593,MATCH('Prior Year Data Table'!$C55,'Prior Year Data Pull'!$A$2:$A$593,0),MATCH("Total Net Assets or Equity",'Prior Year Data Pull'!$A$1:$CB$1,0)),"")</f>
        <v>676740000</v>
      </c>
      <c r="Q55" s="47">
        <f>IFERROR(INDEX('Prior Year Data Pull'!$A$2:$CB$593,MATCH('Prior Year Data Table'!$C55,'Prior Year Data Pull'!$A$2:$A$593,0),MATCH("Total Operating Revenue",'Prior Year Data Pull'!$A$1:$CB$1,0)),"")</f>
        <v>1373935000</v>
      </c>
      <c r="R55" s="47">
        <f>IFERROR(INDEX('Prior Year Data Pull'!$A$2:$CB$593,MATCH('Prior Year Data Table'!$C55,'Prior Year Data Pull'!$A$2:$A$593,0),MATCH("Total Unrestricted Revenue Gains and Other Support",'Prior Year Data Pull'!$A$1:$CB$1,0)),"")</f>
        <v>1405095000</v>
      </c>
      <c r="S55" s="47">
        <f>IFERROR(INDEX('Prior Year TS Data Pull'!$K$2:$K$607,MATCH(C55,'Prior Year TS Data Pull'!$A$2:$A$607,0))+INDEX('Prior Year TS Data Pull'!$O$2:$O$119,MATCH(C55,'Prior Year TS Data Pull'!$A$2:$A$607,0))+INDEX('Prior Year TS Data Pull'!$S$2:$S$119,MATCH(C55,'Prior Year TS Data Pull'!$A$2:$A$607,0)),"")</f>
        <v>518648.56</v>
      </c>
      <c r="T55" s="47">
        <f>IF(INDEX('Prior Year TS Data Pull'!$A$1:$O$607,MATCH(C55,'Prior Year TS Data Pull'!$A$1:$A$607,0),MATCH("Temporary RN Staffing:
Line Reported on in Standardized Financials",'Prior Year TS Data Pull'!$A$1:$O$1,0))="66.1: Salary and Benefit Expense",'Prior Year Data Table'!$AV55-'Prior Year Data Table'!$S55,0)</f>
        <v>556305351.44000006</v>
      </c>
      <c r="U55" s="47">
        <f>IFERROR(INDEX('Prior Year Data Pull'!$A$2:$CB$593,MATCH(C55,'Prior Year Data Pull'!$A$2:$A$593,0),MATCH("Total Expenses Including Nonrecurring Gains Losses",'Prior Year Data Pull'!$A$1:$CB$1,0)),"")</f>
        <v>1226380000</v>
      </c>
      <c r="V55" s="266">
        <f t="shared" si="5"/>
        <v>19.741244932196281</v>
      </c>
      <c r="W55" s="266">
        <f t="shared" si="6"/>
        <v>44.595573813018831</v>
      </c>
      <c r="X55" s="266">
        <f t="shared" si="7"/>
        <v>73.444185378170232</v>
      </c>
      <c r="Y55" s="45">
        <f t="shared" si="8"/>
        <v>0.60704385874483124</v>
      </c>
      <c r="Z55" s="266">
        <f t="shared" si="9"/>
        <v>127.2478095309779</v>
      </c>
      <c r="AA55" s="265">
        <f t="shared" si="10"/>
        <v>0.83841146918641218</v>
      </c>
      <c r="AB55" s="45">
        <f t="shared" si="11"/>
        <v>0.52401280104564074</v>
      </c>
      <c r="AC55" s="45">
        <f t="shared" si="12"/>
        <v>0.32183929837599673</v>
      </c>
      <c r="AD55" s="47">
        <f>IFERROR(INDEX('Prior Year Data Pull'!$A$2:$CB$593,MATCH(C55,'Prior Year Data Pull'!$A$2:$A$593,0),MATCH("Net Patient Service Revenue",'Prior Year Data Pull'!$A$1:$CB$1,0)),"")</f>
        <v>1264384000</v>
      </c>
      <c r="AE55" s="47">
        <f>IFERROR(INDEX('Prior Year Data Pull'!$A$2:$CB$593,MATCH(C55,'Prior Year Data Pull'!$A$2:$A$593,0),MATCH("Total Current Assets",'Prior Year Data Pull'!$A$1:$CB$1,0)),"")</f>
        <v>737132000</v>
      </c>
      <c r="AF55" s="47">
        <f>IFERROR(INDEX('Prior Year Data Pull'!$A$2:$CB$593,MATCH(C55,'Prior Year Data Pull'!$A$2:$A$593,0),MATCH("Total Current Liabilities",'Prior Year Data Pull'!$A$1:$CB$1,0)),"")</f>
        <v>258145000</v>
      </c>
      <c r="AG55" s="47">
        <f>IFERROR(INDEX('Prior Year Data Pull'!$A$2:$CB$593,MATCH(C55,'Prior Year Data Pull'!$A$2:$A$593,0),MATCH("Total Non Operating Revenue",'Prior Year Data Pull'!$A$1:$CB$1,0)),"")</f>
        <v>31160000</v>
      </c>
      <c r="AH55" s="47">
        <f>IFERROR(INDEX('Prior Year Data Pull'!$A$2:$CB$593,MATCH(C55,'Prior Year Data Pull'!$A$2:$A$593,0),MATCH("Less Accumulated Depreciation",'Prior Year Data Pull'!$A$1:$CB$1,0)),"")</f>
        <v>1129673000</v>
      </c>
      <c r="AI55" s="47">
        <f>IFERROR(INDEX('Prior Year Data Pull'!$A$2:$CB$593,MATCH(C55,'Prior Year Data Pull'!$A$2:$A$593,0),MATCH("Depreciation and Amortization Expense",'Prior Year Data Pull'!$A$1:$CB$1,0)),"")</f>
        <v>57224000</v>
      </c>
      <c r="AJ55" s="47">
        <f>IFERROR(INDEX('Prior Year Data Pull'!$A$2:$CB$593,MATCH(C55,'Prior Year Data Pull'!$A$2:$A$593,0),MATCH("Net Patient Accounts Receivable",'Prior Year Data Pull'!$A$1:$CB$1,0)),"")</f>
        <v>154482000</v>
      </c>
      <c r="AK55" s="46">
        <v>365</v>
      </c>
      <c r="AL55" s="47">
        <f>IFERROR(INDEX('Prior Year Data Pull'!$A$2:$CB$593,MATCH(C55,'Prior Year Data Pull'!$A$2:$A$593,0),MATCH("Estimated Third Party Settlements",'Prior Year Data Pull'!$A$1:$CB$1,0)),"")</f>
        <v>22891000</v>
      </c>
      <c r="AM55" s="47">
        <f>IFERROR(INDEX('Prior Year Data Pull'!$A$2:$CB$593,MATCH(C55,'Prior Year Data Pull'!$A$2:$A$593,0),MATCH("Current Liabilities due to Affiliates",'Prior Year Data Pull'!$A$1:$CB$1,0)),"")</f>
        <v>94575000</v>
      </c>
      <c r="AN55" s="47">
        <f>IFERROR(INDEX('Prior Year Data Pull'!$A$2:$CB$593,MATCH(C55,'Prior Year Data Pull'!$A$2:$A$593,0),MATCH("Short Term Investments",'Prior Year Data Pull'!$A$1:$CB$1,0)),"")</f>
        <v>402641000</v>
      </c>
      <c r="AO55" s="47">
        <f>IFERROR(INDEX('Prior Year Data Pull'!$A$2:$CB$593,MATCH(C55,'Prior Year Data Pull'!$A$2:$A$593,0),MATCH("Cash and Cash Equivalents",'Prior Year Data Pull'!$A$1:$CB$1,0)),"")</f>
        <v>4955000</v>
      </c>
      <c r="AP55" s="47">
        <f>IFERROR(INDEX('Prior Year Data Pull'!$A$2:$CB$593,MATCH(C55,'Prior Year Data Pull'!$A$2:$A$593,0),MATCH("Interest Expense",'Prior Year Data Pull'!$A$1:$CB$1,0)),"")</f>
        <v>9305000</v>
      </c>
      <c r="AQ55" s="47">
        <f>IFERROR(INDEX('Prior Year Data Pull'!$A$2:$CB$593,MATCH(C55,'Prior Year Data Pull'!$A$2:$A$593,0),MATCH("Long Term Debt Net of Current Portion",'Prior Year Data Pull'!$A$1:$CB$1,0)),"")</f>
        <v>254637000</v>
      </c>
      <c r="AR55" s="47">
        <f>IFERROR(INDEX('Prior Year Data Pull'!$A$2:$CB$593,MATCH(C55,'Prior Year Data Pull'!$A$2:$A$593,0),MATCH("Total Assets",'Prior Year Data Pull'!$A$1:$CB$1,0)),"")</f>
        <v>1291457000</v>
      </c>
      <c r="AS55" s="47">
        <f>IFERROR(INDEX('Prior Year Data Pull'!$A$2:$CB$593,MATCH(C55,'Prior Year Data Pull'!$A$2:$A$593,0),MATCH("Long Term Debt Net of Current Portion",'Prior Year Data Pull'!$A$1:$CB$1,0)),"")</f>
        <v>254637000</v>
      </c>
      <c r="AT55" s="47">
        <f>IFERROR(INDEX('Prior Year Data Pull'!$A$2:$CB$593,MATCH(C55,'Prior Year Data Pull'!$A$2:$A$593,0),MATCH("Net Unrestricted Assets",'Prior Year Data Pull'!$A$1:$CB$1,0)),"")</f>
        <v>536556000</v>
      </c>
      <c r="AU55" s="47">
        <f>IFERROR(INDEX('Prior Year Data Pull'!$A$2:$CB$593,MATCH(C55,'Prior Year Data Pull'!$A$2:$A$593,0),MATCH("Unrealized Gains/Losses",'Prior Year Data Pull'!$A$1:$CB$1,0)),"")</f>
        <v>23952000</v>
      </c>
      <c r="AV55" s="47">
        <f>IFERROR(INDEX('Prior Year Data Pull'!$A$2:$CB$593,MATCH(C55,'Prior Year Data Pull'!$A$2:$A$593,0),MATCH("Salary and Benefit Expense",'Prior Year Data Pull'!$A$1:$CB$1,0)),"")</f>
        <v>556824000</v>
      </c>
    </row>
    <row r="56" spans="1:48" ht="34.200000000000003" x14ac:dyDescent="0.3">
      <c r="A56" s="14" t="str">
        <f>IFERROR(INDEX('Static Data Tab'!$N$2:$N$610,MATCH(D56,'Static Data Tab'!$D$2:$D$610,0)), "")</f>
        <v>Trinity Health</v>
      </c>
      <c r="B56" s="14" t="s">
        <v>184</v>
      </c>
      <c r="C56" s="14">
        <v>6547</v>
      </c>
      <c r="D56" s="14">
        <v>14288</v>
      </c>
      <c r="E56" s="14" t="str">
        <f>IFERROR(INDEX('Prior Year Data Pull'!$A$1:$CB$593,MATCH(C56,'Prior Year Data Pull'!$A$1:$A$593,0),MATCH("Organization Type",'Prior Year Data Pull'!$A$1:$CB$1,0)),"")</f>
        <v>AcuteHospital</v>
      </c>
      <c r="F56" s="14" t="str">
        <f>IFERROR(INDEX('Static Data Tab'!$E$2:$E$610,MATCH(C56,'Static Data Tab'!$B$2:$B$610,0)), "-")</f>
        <v>Community-High Public Payer Hospital</v>
      </c>
      <c r="G56" s="14" t="str">
        <f>IFERROR(INDEX('Static Data Tab'!$J$2:$J$610,MATCH(C56,'Static Data Tab'!$B$2:$B$610,0)), "")</f>
        <v>Western Massachusetts</v>
      </c>
      <c r="H56" s="14" t="str">
        <f>IFERROR(INDEX('Static Data Tab'!$F$2:$F$610,MATCH(C56,'Static Data Tab'!$B$2:$B$610,0)), "")</f>
        <v>x</v>
      </c>
      <c r="I56" s="14">
        <f>IFERROR(INDEX('Static Data Tab'!$G$2:$G$610,MATCH(C56,'Static Data Tab'!$B$2:$B$610,0)), "")</f>
        <v>0</v>
      </c>
      <c r="J56" s="14" t="str">
        <f>IFERROR(INDEX('Prior Year Data Pull'!$A$2:$CB$593,MATCH(C56,'Prior Year Data Pull'!$A$2:$A$593,0),MATCH("Quarter Range",'Prior Year Data Pull'!$A$1:$CB$1,0)),"")</f>
        <v xml:space="preserve">07/01/2024-06/30/2025
</v>
      </c>
      <c r="K56" s="37">
        <f t="shared" si="0"/>
        <v>-0.12225064663443741</v>
      </c>
      <c r="L56" s="37">
        <f t="shared" si="1"/>
        <v>7.3224033014311098E-4</v>
      </c>
      <c r="M56" s="37">
        <f t="shared" si="2"/>
        <v>-0.12151840630429429</v>
      </c>
      <c r="N56" s="38">
        <f t="shared" si="3"/>
        <v>-39799152</v>
      </c>
      <c r="O56" s="39">
        <f t="shared" si="4"/>
        <v>2.0136383507845168</v>
      </c>
      <c r="P56" s="38">
        <f>IFERROR(INDEX('Prior Year Data Pull'!$A$2:$CB$593,MATCH('Prior Year Data Table'!$C56,'Prior Year Data Pull'!$A$2:$A$593,0),MATCH("Total Net Assets or Equity",'Prior Year Data Pull'!$A$1:$CB$1,0)),"")</f>
        <v>-30075033</v>
      </c>
      <c r="Q56" s="38">
        <f>IFERROR(INDEX('Prior Year Data Pull'!$A$2:$CB$593,MATCH('Prior Year Data Table'!$C56,'Prior Year Data Pull'!$A$2:$A$593,0),MATCH("Total Operating Revenue",'Prior Year Data Pull'!$A$1:$CB$1,0)),"")</f>
        <v>327275601</v>
      </c>
      <c r="R56" s="38">
        <f>IFERROR(INDEX('Prior Year Data Pull'!$A$2:$CB$593,MATCH('Prior Year Data Table'!$C56,'Prior Year Data Pull'!$A$2:$A$593,0),MATCH("Total Unrestricted Revenue Gains and Other Support",'Prior Year Data Pull'!$A$1:$CB$1,0)),"")</f>
        <v>327515421</v>
      </c>
      <c r="S56" s="38">
        <f>IFERROR(INDEX('Prior Year TS Data Pull'!$K$2:$K$607,MATCH(C56,'Prior Year TS Data Pull'!$A$2:$A$607,0))+INDEX('Prior Year TS Data Pull'!$O$2:$O$119,MATCH(C56,'Prior Year TS Data Pull'!$A$2:$A$607,0))+INDEX('Prior Year TS Data Pull'!$S$2:$S$119,MATCH(C56,'Prior Year TS Data Pull'!$A$2:$A$607,0)),"")</f>
        <v>232401.9</v>
      </c>
      <c r="T56" s="38">
        <f>IF(INDEX('Prior Year TS Data Pull'!$A$1:$O$607,MATCH(C56,'Prior Year TS Data Pull'!$A$1:$A$607,0),MATCH("Temporary RN Staffing:
Line Reported on in Standardized Financials",'Prior Year TS Data Pull'!$A$1:$O$1,0))="66.1: Salary and Benefit Expense",'Prior Year Data Table'!$AV56-'Prior Year Data Table'!$S56,0)</f>
        <v>107622948.09999999</v>
      </c>
      <c r="U56" s="38">
        <f>IFERROR(INDEX('Prior Year Data Pull'!$A$2:$CB$593,MATCH(C56,'Prior Year Data Pull'!$A$2:$A$593,0),MATCH("Total Expenses Including Nonrecurring Gains Losses",'Prior Year Data Pull'!$A$1:$CB$1,0)),"")</f>
        <v>367314573</v>
      </c>
      <c r="V56" s="41">
        <f t="shared" si="5"/>
        <v>0</v>
      </c>
      <c r="W56" s="41">
        <f t="shared" si="6"/>
        <v>52.026148466810959</v>
      </c>
      <c r="X56" s="41">
        <f t="shared" si="7"/>
        <v>57.455278755348822</v>
      </c>
      <c r="Y56" s="37">
        <f t="shared" si="8"/>
        <v>-0.24530151748278392</v>
      </c>
      <c r="Z56" s="41">
        <f t="shared" si="9"/>
        <v>5.7623612251823705E-2</v>
      </c>
      <c r="AA56" s="39">
        <f t="shared" si="10"/>
        <v>-0.2737687061531846</v>
      </c>
      <c r="AB56" s="37">
        <f t="shared" si="11"/>
        <v>-0.22939990013049122</v>
      </c>
      <c r="AC56" s="37">
        <f t="shared" si="12"/>
        <v>1.5631624209018704</v>
      </c>
      <c r="AD56" s="38">
        <f>IFERROR(INDEX('Prior Year Data Pull'!$A$2:$CB$593,MATCH(C56,'Prior Year Data Pull'!$A$2:$A$593,0),MATCH("Net Patient Service Revenue",'Prior Year Data Pull'!$A$1:$CB$1,0)),"")</f>
        <v>292708328</v>
      </c>
      <c r="AE56" s="38">
        <f>IFERROR(INDEX('Prior Year Data Pull'!$A$2:$CB$593,MATCH(C56,'Prior Year Data Pull'!$A$2:$A$593,0),MATCH("Total Current Assets",'Prior Year Data Pull'!$A$1:$CB$1,0)),"")</f>
        <v>125805014</v>
      </c>
      <c r="AF56" s="38">
        <f>IFERROR(INDEX('Prior Year Data Pull'!$A$2:$CB$593,MATCH(C56,'Prior Year Data Pull'!$A$2:$A$593,0),MATCH("Total Current Liabilities",'Prior Year Data Pull'!$A$1:$CB$1,0)),"")</f>
        <v>62476469</v>
      </c>
      <c r="AG56" s="38">
        <f>IFERROR(INDEX('Prior Year Data Pull'!$A$2:$CB$593,MATCH(C56,'Prior Year Data Pull'!$A$2:$A$593,0),MATCH("Total Non Operating Revenue",'Prior Year Data Pull'!$A$1:$CB$1,0)),"")</f>
        <v>239820</v>
      </c>
      <c r="AH56" s="38">
        <f>IFERROR(INDEX('Prior Year Data Pull'!$A$2:$CB$593,MATCH(C56,'Prior Year Data Pull'!$A$2:$A$593,0),MATCH("Less Accumulated Depreciation",'Prior Year Data Pull'!$A$1:$CB$1,0)),"")</f>
        <v>0</v>
      </c>
      <c r="AI56" s="38">
        <f>IFERROR(INDEX('Prior Year Data Pull'!$A$2:$CB$593,MATCH(C56,'Prior Year Data Pull'!$A$2:$A$593,0),MATCH("Depreciation and Amortization Expense",'Prior Year Data Pull'!$A$1:$CB$1,0)),"")</f>
        <v>7892555</v>
      </c>
      <c r="AJ56" s="38">
        <f>IFERROR(INDEX('Prior Year Data Pull'!$A$2:$CB$593,MATCH(C56,'Prior Year Data Pull'!$A$2:$A$593,0),MATCH("Net Patient Accounts Receivable",'Prior Year Data Pull'!$A$1:$CB$1,0)),"")</f>
        <v>41721882</v>
      </c>
      <c r="AK56" s="14">
        <v>365</v>
      </c>
      <c r="AL56" s="38">
        <f>IFERROR(INDEX('Prior Year Data Pull'!$A$2:$CB$593,MATCH(C56,'Prior Year Data Pull'!$A$2:$A$593,0),MATCH("Estimated Third Party Settlements",'Prior Year Data Pull'!$A$1:$CB$1,0)),"")</f>
        <v>5899230</v>
      </c>
      <c r="AM56" s="38">
        <f>IFERROR(INDEX('Prior Year Data Pull'!$A$2:$CB$593,MATCH(C56,'Prior Year Data Pull'!$A$2:$A$593,0),MATCH("Current Liabilities due to Affiliates",'Prior Year Data Pull'!$A$1:$CB$1,0)),"")</f>
        <v>32308225</v>
      </c>
      <c r="AN56" s="38">
        <f>IFERROR(INDEX('Prior Year Data Pull'!$A$2:$CB$593,MATCH(C56,'Prior Year Data Pull'!$A$2:$A$593,0),MATCH("Short Term Investments",'Prior Year Data Pull'!$A$1:$CB$1,0)),"")</f>
        <v>0</v>
      </c>
      <c r="AO56" s="38">
        <f>IFERROR(INDEX('Prior Year Data Pull'!$A$2:$CB$593,MATCH(C56,'Prior Year Data Pull'!$A$2:$A$593,0),MATCH("Cash and Cash Equivalents",'Prior Year Data Pull'!$A$1:$CB$1,0)),"")</f>
        <v>56743</v>
      </c>
      <c r="AP56" s="38">
        <f>IFERROR(INDEX('Prior Year Data Pull'!$A$2:$CB$593,MATCH(C56,'Prior Year Data Pull'!$A$2:$A$593,0),MATCH("Interest Expense",'Prior Year Data Pull'!$A$1:$CB$1,0)),"")</f>
        <v>4037018</v>
      </c>
      <c r="AQ56" s="38">
        <f>IFERROR(INDEX('Prior Year Data Pull'!$A$2:$CB$593,MATCH(C56,'Prior Year Data Pull'!$A$2:$A$593,0),MATCH("Long Term Debt Net of Current Portion",'Prior Year Data Pull'!$A$1:$CB$1,0)),"")</f>
        <v>97762707</v>
      </c>
      <c r="AR56" s="38">
        <f>IFERROR(INDEX('Prior Year Data Pull'!$A$2:$CB$593,MATCH(C56,'Prior Year Data Pull'!$A$2:$A$593,0),MATCH("Total Assets",'Prior Year Data Pull'!$A$1:$CB$1,0)),"")</f>
        <v>131103078</v>
      </c>
      <c r="AS56" s="38">
        <f>IFERROR(INDEX('Prior Year Data Pull'!$A$2:$CB$593,MATCH(C56,'Prior Year Data Pull'!$A$2:$A$593,0),MATCH("Long Term Debt Net of Current Portion",'Prior Year Data Pull'!$A$1:$CB$1,0)),"")</f>
        <v>97762707</v>
      </c>
      <c r="AT56" s="38">
        <f>IFERROR(INDEX('Prior Year Data Pull'!$A$2:$CB$593,MATCH(C56,'Prior Year Data Pull'!$A$2:$A$593,0),MATCH("Net Unrestricted Assets",'Prior Year Data Pull'!$A$1:$CB$1,0)),"")</f>
        <v>-35221089</v>
      </c>
      <c r="AU56" s="38">
        <f>IFERROR(INDEX('Prior Year Data Pull'!$A$2:$CB$593,MATCH(C56,'Prior Year Data Pull'!$A$2:$A$593,0),MATCH("Unrealized Gains/Losses",'Prior Year Data Pull'!$A$1:$CB$1,0)),"")</f>
        <v>0</v>
      </c>
      <c r="AV56" s="38">
        <f>IFERROR(INDEX('Prior Year Data Pull'!$A$2:$CB$593,MATCH(C56,'Prior Year Data Pull'!$A$2:$A$593,0),MATCH("Salary and Benefit Expense",'Prior Year Data Pull'!$A$1:$CB$1,0)),"")</f>
        <v>107855350</v>
      </c>
    </row>
    <row r="57" spans="1:48" ht="34.200000000000003" x14ac:dyDescent="0.3">
      <c r="A57" s="46" t="str">
        <f>IFERROR(INDEX('Static Data Tab'!$N$2:$N$610,MATCH(D57,'Static Data Tab'!$D$2:$D$610,0)), "")</f>
        <v>Cambridge Health Alliance</v>
      </c>
      <c r="B57" s="46" t="s">
        <v>121</v>
      </c>
      <c r="C57" s="46">
        <v>13159</v>
      </c>
      <c r="D57" s="46">
        <v>13159</v>
      </c>
      <c r="E57" s="46" t="str">
        <f>IFERROR(INDEX('Prior Year Data Pull'!$A$1:$CB$593,MATCH(C57,'Prior Year Data Pull'!$A$1:$A$593,0),MATCH("Organization Type",'Prior Year Data Pull'!$A$1:$CB$1,0)),"")</f>
        <v>HHS</v>
      </c>
      <c r="F57" s="46" t="str">
        <f>IFERROR(INDEX('Static Data Tab'!$E$2:$E$610,MATCH(C57,'Static Data Tab'!$B$2:$B$610,0)), "-")</f>
        <v>-</v>
      </c>
      <c r="G57" s="46" t="str">
        <f>IFERROR(INDEX('Static Data Tab'!$J$2:$J$610,MATCH(C57,'Static Data Tab'!$B$2:$B$610,0)), "")</f>
        <v/>
      </c>
      <c r="H57" s="46" t="str">
        <f>IFERROR(INDEX('Static Data Tab'!$F$2:$F$610,MATCH(C57,'Static Data Tab'!$B$2:$B$610,0)), "")</f>
        <v/>
      </c>
      <c r="I57" s="46" t="str">
        <f>IFERROR(INDEX('Static Data Tab'!$G$2:$G$610,MATCH(C57,'Static Data Tab'!$B$2:$B$610,0)), "")</f>
        <v/>
      </c>
      <c r="J57" s="46" t="str">
        <f>IFERROR(INDEX('Prior Year Data Pull'!$A$2:$CB$593,MATCH(C57,'Prior Year Data Pull'!$A$2:$A$593,0),MATCH("Quarter Range",'Prior Year Data Pull'!$A$1:$CB$1,0)),"")</f>
        <v xml:space="preserve">07/01/2024-06/30/2025
</v>
      </c>
      <c r="K57" s="45">
        <f t="shared" si="0"/>
        <v>1.2538464135452058E-3</v>
      </c>
      <c r="L57" s="45">
        <f t="shared" si="1"/>
        <v>4.7281612113957545E-2</v>
      </c>
      <c r="M57" s="45">
        <f t="shared" si="2"/>
        <v>4.8535458527502753E-2</v>
      </c>
      <c r="N57" s="47">
        <f t="shared" si="3"/>
        <v>55411793</v>
      </c>
      <c r="O57" s="265">
        <f t="shared" si="4"/>
        <v>2.5723375946353175</v>
      </c>
      <c r="P57" s="47">
        <f>IFERROR(INDEX('Prior Year Data Pull'!$A$2:$CB$593,MATCH('Prior Year Data Table'!$C57,'Prior Year Data Pull'!$A$2:$A$593,0),MATCH("Total Net Assets or Equity",'Prior Year Data Pull'!$A$1:$CB$1,0)),"")</f>
        <v>333771373</v>
      </c>
      <c r="Q57" s="47">
        <f>IFERROR(INDEX('Prior Year Data Pull'!$A$2:$CB$593,MATCH('Prior Year Data Table'!$C57,'Prior Year Data Pull'!$A$2:$A$593,0),MATCH("Total Operating Revenue",'Prior Year Data Pull'!$A$1:$CB$1,0)),"")</f>
        <v>1087696206</v>
      </c>
      <c r="R57" s="47">
        <f>IFERROR(INDEX('Prior Year Data Pull'!$A$2:$CB$593,MATCH('Prior Year Data Table'!$C57,'Prior Year Data Pull'!$A$2:$A$593,0),MATCH("Total Unrestricted Revenue Gains and Other Support",'Prior Year Data Pull'!$A$1:$CB$1,0)),"")</f>
        <v>1141676512</v>
      </c>
      <c r="S57" s="47">
        <f>IFERROR(INDEX('Prior Year TS Data Pull'!$K$2:$K$607,MATCH(C57,'Prior Year TS Data Pull'!$A$2:$A$607,0))+INDEX('Prior Year TS Data Pull'!$O$2:$O$119,MATCH(C57,'Prior Year TS Data Pull'!$A$2:$A$607,0))+INDEX('Prior Year TS Data Pull'!$S$2:$S$119,MATCH(C57,'Prior Year TS Data Pull'!$A$2:$A$607,0)),"")</f>
        <v>13738040</v>
      </c>
      <c r="T57" s="47">
        <f>IF(INDEX('Prior Year TS Data Pull'!$A$1:$O$607,MATCH(C57,'Prior Year TS Data Pull'!$A$1:$A$607,0),MATCH("Temporary RN Staffing:
Line Reported on in Standardized Financials",'Prior Year TS Data Pull'!$A$1:$O$1,0))="66.1: Salary and Benefit Expense",'Prior Year Data Table'!$AV57-'Prior Year Data Table'!$S57,0)</f>
        <v>0</v>
      </c>
      <c r="U57" s="47">
        <f>IFERROR(INDEX('Prior Year Data Pull'!$A$2:$CB$593,MATCH(C57,'Prior Year Data Pull'!$A$2:$A$593,0),MATCH("Total Expenses Including Nonrecurring Gains Losses",'Prior Year Data Pull'!$A$1:$CB$1,0)),"")</f>
        <v>1086264719</v>
      </c>
      <c r="V57" s="266">
        <f t="shared" si="5"/>
        <v>15.331598279581259</v>
      </c>
      <c r="W57" s="266">
        <f t="shared" si="6"/>
        <v>31.326572140627896</v>
      </c>
      <c r="X57" s="266">
        <f t="shared" si="7"/>
        <v>61.485895653090246</v>
      </c>
      <c r="Y57" s="45">
        <f t="shared" si="8"/>
        <v>1.2619005179418483</v>
      </c>
      <c r="Z57" s="266">
        <f t="shared" si="9"/>
        <v>81.973936922893927</v>
      </c>
      <c r="AA57" s="265">
        <f t="shared" si="10"/>
        <v>1.253940527040889</v>
      </c>
      <c r="AB57" s="45">
        <f t="shared" si="11"/>
        <v>0.42726903756879636</v>
      </c>
      <c r="AC57" s="45">
        <f t="shared" si="12"/>
        <v>0.19431155688228385</v>
      </c>
      <c r="AD57" s="47">
        <f>IFERROR(INDEX('Prior Year Data Pull'!$A$2:$CB$593,MATCH(C57,'Prior Year Data Pull'!$A$2:$A$593,0),MATCH("Net Patient Service Revenue",'Prior Year Data Pull'!$A$1:$CB$1,0)),"")</f>
        <v>459240867</v>
      </c>
      <c r="AE57" s="47">
        <f>IFERROR(INDEX('Prior Year Data Pull'!$A$2:$CB$593,MATCH(C57,'Prior Year Data Pull'!$A$2:$A$593,0),MATCH("Total Current Assets",'Prior Year Data Pull'!$A$1:$CB$1,0)),"")</f>
        <v>454551132</v>
      </c>
      <c r="AF57" s="47">
        <f>IFERROR(INDEX('Prior Year Data Pull'!$A$2:$CB$593,MATCH(C57,'Prior Year Data Pull'!$A$2:$A$593,0),MATCH("Total Current Liabilities",'Prior Year Data Pull'!$A$1:$CB$1,0)),"")</f>
        <v>176707417</v>
      </c>
      <c r="AG57" s="47">
        <f>IFERROR(INDEX('Prior Year Data Pull'!$A$2:$CB$593,MATCH(C57,'Prior Year Data Pull'!$A$2:$A$593,0),MATCH("Total Non Operating Revenue",'Prior Year Data Pull'!$A$1:$CB$1,0)),"")</f>
        <v>53980306</v>
      </c>
      <c r="AH57" s="47">
        <f>IFERROR(INDEX('Prior Year Data Pull'!$A$2:$CB$593,MATCH(C57,'Prior Year Data Pull'!$A$2:$A$593,0),MATCH("Less Accumulated Depreciation",'Prior Year Data Pull'!$A$1:$CB$1,0)),"")</f>
        <v>664805223</v>
      </c>
      <c r="AI57" s="47">
        <f>IFERROR(INDEX('Prior Year Data Pull'!$A$2:$CB$593,MATCH(C57,'Prior Year Data Pull'!$A$2:$A$593,0),MATCH("Depreciation and Amortization Expense",'Prior Year Data Pull'!$A$1:$CB$1,0)),"")</f>
        <v>43361769</v>
      </c>
      <c r="AJ57" s="47">
        <f>IFERROR(INDEX('Prior Year Data Pull'!$A$2:$CB$593,MATCH(C57,'Prior Year Data Pull'!$A$2:$A$593,0),MATCH("Net Patient Accounts Receivable",'Prior Year Data Pull'!$A$1:$CB$1,0)),"")</f>
        <v>39414910</v>
      </c>
      <c r="AK57" s="46">
        <v>365</v>
      </c>
      <c r="AL57" s="47">
        <f>IFERROR(INDEX('Prior Year Data Pull'!$A$2:$CB$593,MATCH(C57,'Prior Year Data Pull'!$A$2:$A$593,0),MATCH("Estimated Third Party Settlements",'Prior Year Data Pull'!$A$1:$CB$1,0)),"")</f>
        <v>1025713</v>
      </c>
      <c r="AM57" s="47">
        <f>IFERROR(INDEX('Prior Year Data Pull'!$A$2:$CB$593,MATCH(C57,'Prior Year Data Pull'!$A$2:$A$593,0),MATCH("Current Liabilities due to Affiliates",'Prior Year Data Pull'!$A$1:$CB$1,0)),"")</f>
        <v>0</v>
      </c>
      <c r="AN57" s="47">
        <f>IFERROR(INDEX('Prior Year Data Pull'!$A$2:$CB$593,MATCH(C57,'Prior Year Data Pull'!$A$2:$A$593,0),MATCH("Short Term Investments",'Prior Year Data Pull'!$A$1:$CB$1,0)),"")</f>
        <v>12504295</v>
      </c>
      <c r="AO57" s="47">
        <f>IFERROR(INDEX('Prior Year Data Pull'!$A$2:$CB$593,MATCH(C57,'Prior Year Data Pull'!$A$2:$A$593,0),MATCH("Cash and Cash Equivalents",'Prior Year Data Pull'!$A$1:$CB$1,0)),"")</f>
        <v>221717241</v>
      </c>
      <c r="AP57" s="47">
        <f>IFERROR(INDEX('Prior Year Data Pull'!$A$2:$CB$593,MATCH(C57,'Prior Year Data Pull'!$A$2:$A$593,0),MATCH("Interest Expense",'Prior Year Data Pull'!$A$1:$CB$1,0)),"")</f>
        <v>2453557</v>
      </c>
      <c r="AQ57" s="47">
        <f>IFERROR(INDEX('Prior Year Data Pull'!$A$2:$CB$593,MATCH(C57,'Prior Year Data Pull'!$A$2:$A$593,0),MATCH("Long Term Debt Net of Current Portion",'Prior Year Data Pull'!$A$1:$CB$1,0)),"")</f>
        <v>78273652</v>
      </c>
      <c r="AR57" s="47">
        <f>IFERROR(INDEX('Prior Year Data Pull'!$A$2:$CB$593,MATCH(C57,'Prior Year Data Pull'!$A$2:$A$593,0),MATCH("Total Assets",'Prior Year Data Pull'!$A$1:$CB$1,0)),"")</f>
        <v>781173789</v>
      </c>
      <c r="AS57" s="47">
        <f>IFERROR(INDEX('Prior Year Data Pull'!$A$2:$CB$593,MATCH(C57,'Prior Year Data Pull'!$A$2:$A$593,0),MATCH("Long Term Debt Net of Current Portion",'Prior Year Data Pull'!$A$1:$CB$1,0)),"")</f>
        <v>78273652</v>
      </c>
      <c r="AT57" s="47">
        <f>IFERROR(INDEX('Prior Year Data Pull'!$A$2:$CB$593,MATCH(C57,'Prior Year Data Pull'!$A$2:$A$593,0),MATCH("Net Unrestricted Assets",'Prior Year Data Pull'!$A$1:$CB$1,0)),"")</f>
        <v>324551858</v>
      </c>
      <c r="AU57" s="47">
        <f>IFERROR(INDEX('Prior Year Data Pull'!$A$2:$CB$593,MATCH(C57,'Prior Year Data Pull'!$A$2:$A$593,0),MATCH("Unrealized Gains/Losses",'Prior Year Data Pull'!$A$1:$CB$1,0)),"")</f>
        <v>0</v>
      </c>
      <c r="AV57" s="47">
        <f>IFERROR(INDEX('Prior Year Data Pull'!$A$2:$CB$593,MATCH(C57,'Prior Year Data Pull'!$A$2:$A$593,0),MATCH("Salary and Benefit Expense",'Prior Year Data Pull'!$A$1:$CB$1,0)),"")</f>
        <v>648032146</v>
      </c>
    </row>
    <row r="58" spans="1:48" ht="34.200000000000003" x14ac:dyDescent="0.3">
      <c r="A58" s="14" t="str">
        <f>IFERROR(INDEX('Static Data Tab'!$N$2:$N$610,MATCH(D58,'Static Data Tab'!$D$2:$D$610,0)), "")</f>
        <v>Tufts Medicine</v>
      </c>
      <c r="B58" s="14" t="s">
        <v>195</v>
      </c>
      <c r="C58" s="14">
        <v>7895</v>
      </c>
      <c r="D58" s="14">
        <v>12775</v>
      </c>
      <c r="E58" s="14" t="str">
        <f>IFERROR(INDEX('Prior Year Data Pull'!$A$1:$CB$593,MATCH(C58,'Prior Year Data Pull'!$A$1:$A$593,0),MATCH("Organization Type",'Prior Year Data Pull'!$A$1:$CB$1,0)),"")</f>
        <v>PhysicianOrganization</v>
      </c>
      <c r="F58" s="14" t="str">
        <f>IFERROR(INDEX('Static Data Tab'!$E$2:$E$610,MATCH(C58,'Static Data Tab'!$B$2:$B$610,0)), "-")</f>
        <v>-</v>
      </c>
      <c r="G58" s="14" t="str">
        <f>IFERROR(INDEX('Static Data Tab'!$J$2:$J$610,MATCH(C58,'Static Data Tab'!$B$2:$B$610,0)), "")</f>
        <v/>
      </c>
      <c r="H58" s="14" t="str">
        <f>IFERROR(INDEX('Static Data Tab'!$F$2:$F$610,MATCH(C58,'Static Data Tab'!$B$2:$B$610,0)), "")</f>
        <v/>
      </c>
      <c r="I58" s="14" t="str">
        <f>IFERROR(INDEX('Static Data Tab'!$G$2:$G$610,MATCH(C58,'Static Data Tab'!$B$2:$B$610,0)), "")</f>
        <v/>
      </c>
      <c r="J58" s="14" t="str">
        <f>IFERROR(INDEX('Prior Year Data Pull'!$A$2:$CB$593,MATCH(C58,'Prior Year Data Pull'!$A$2:$A$593,0),MATCH("Quarter Range",'Prior Year Data Pull'!$A$1:$CB$1,0)),"")</f>
        <v xml:space="preserve">10/01/2024-09/30/2025
</v>
      </c>
      <c r="K58" s="37">
        <f t="shared" si="0"/>
        <v>-1.3144389122941401E-2</v>
      </c>
      <c r="L58" s="37">
        <f t="shared" si="1"/>
        <v>-1.5319800842589045E-5</v>
      </c>
      <c r="M58" s="37">
        <f t="shared" si="2"/>
        <v>-1.3159708923783991E-2</v>
      </c>
      <c r="N58" s="38">
        <f t="shared" si="3"/>
        <v>-859000</v>
      </c>
      <c r="O58" s="39" t="str">
        <f t="shared" si="4"/>
        <v/>
      </c>
      <c r="P58" s="38">
        <f>IFERROR(INDEX('Prior Year Data Pull'!$A$2:$CB$593,MATCH('Prior Year Data Table'!$C58,'Prior Year Data Pull'!$A$2:$A$593,0),MATCH("Total Net Assets or Equity",'Prior Year Data Pull'!$A$1:$CB$1,0)),"")</f>
        <v>0</v>
      </c>
      <c r="Q58" s="38">
        <f>IFERROR(INDEX('Prior Year Data Pull'!$A$2:$CB$593,MATCH('Prior Year Data Table'!$C58,'Prior Year Data Pull'!$A$2:$A$593,0),MATCH("Total Operating Revenue",'Prior Year Data Pull'!$A$1:$CB$1,0)),"")</f>
        <v>65276000</v>
      </c>
      <c r="R58" s="38">
        <f>IFERROR(INDEX('Prior Year Data Pull'!$A$2:$CB$593,MATCH('Prior Year Data Table'!$C58,'Prior Year Data Pull'!$A$2:$A$593,0),MATCH("Total Unrestricted Revenue Gains and Other Support",'Prior Year Data Pull'!$A$1:$CB$1,0)),"")</f>
        <v>65275000</v>
      </c>
      <c r="S58" s="38" t="str">
        <f>IFERROR(INDEX('Prior Year TS Data Pull'!$K$2:$K$607,MATCH(C58,'Prior Year TS Data Pull'!$A$2:$A$607,0))+INDEX('Prior Year TS Data Pull'!$O$2:$O$119,MATCH(C58,'Prior Year TS Data Pull'!$A$2:$A$607,0))+INDEX('Prior Year TS Data Pull'!$S$2:$S$119,MATCH(C58,'Prior Year TS Data Pull'!$A$2:$A$607,0)),"")</f>
        <v/>
      </c>
      <c r="T58" s="38" t="e">
        <f>IF(INDEX('Prior Year TS Data Pull'!$A$1:$O$607,MATCH(C58,'Prior Year TS Data Pull'!$A$1:$A$607,0),MATCH("Temporary RN Staffing:
Line Reported on in Standardized Financials",'Prior Year TS Data Pull'!$A$1:$O$1,0))="66.1: Salary and Benefit Expense",'Prior Year Data Table'!$AV58-'Prior Year Data Table'!$S58,0)</f>
        <v>#N/A</v>
      </c>
      <c r="U58" s="38">
        <f>IFERROR(INDEX('Prior Year Data Pull'!$A$2:$CB$593,MATCH(C58,'Prior Year Data Pull'!$A$2:$A$593,0),MATCH("Total Expenses Including Nonrecurring Gains Losses",'Prior Year Data Pull'!$A$1:$CB$1,0)),"")</f>
        <v>66134000</v>
      </c>
      <c r="V58" s="41">
        <f t="shared" si="5"/>
        <v>0</v>
      </c>
      <c r="W58" s="41">
        <f t="shared" si="6"/>
        <v>0</v>
      </c>
      <c r="X58" s="41">
        <f t="shared" si="7"/>
        <v>0</v>
      </c>
      <c r="Y58" s="37" t="str">
        <f t="shared" si="8"/>
        <v/>
      </c>
      <c r="Z58" s="41">
        <f t="shared" si="9"/>
        <v>0</v>
      </c>
      <c r="AA58" s="39" t="str">
        <f t="shared" si="10"/>
        <v/>
      </c>
      <c r="AB58" s="37" t="str">
        <f t="shared" si="11"/>
        <v/>
      </c>
      <c r="AC58" s="37" t="str">
        <f t="shared" si="12"/>
        <v/>
      </c>
      <c r="AD58" s="38">
        <f>IFERROR(INDEX('Prior Year Data Pull'!$A$2:$CB$593,MATCH(C58,'Prior Year Data Pull'!$A$2:$A$593,0),MATCH("Net Patient Service Revenue",'Prior Year Data Pull'!$A$1:$CB$1,0)),"")</f>
        <v>45913000</v>
      </c>
      <c r="AE58" s="38">
        <f>IFERROR(INDEX('Prior Year Data Pull'!$A$2:$CB$593,MATCH(C58,'Prior Year Data Pull'!$A$2:$A$593,0),MATCH("Total Current Assets",'Prior Year Data Pull'!$A$1:$CB$1,0)),"")</f>
        <v>0</v>
      </c>
      <c r="AF58" s="38">
        <f>IFERROR(INDEX('Prior Year Data Pull'!$A$2:$CB$593,MATCH(C58,'Prior Year Data Pull'!$A$2:$A$593,0),MATCH("Total Current Liabilities",'Prior Year Data Pull'!$A$1:$CB$1,0)),"")</f>
        <v>0</v>
      </c>
      <c r="AG58" s="38">
        <f>IFERROR(INDEX('Prior Year Data Pull'!$A$2:$CB$593,MATCH(C58,'Prior Year Data Pull'!$A$2:$A$593,0),MATCH("Total Non Operating Revenue",'Prior Year Data Pull'!$A$1:$CB$1,0)),"")</f>
        <v>-1000</v>
      </c>
      <c r="AH58" s="38">
        <f>IFERROR(INDEX('Prior Year Data Pull'!$A$2:$CB$593,MATCH(C58,'Prior Year Data Pull'!$A$2:$A$593,0),MATCH("Less Accumulated Depreciation",'Prior Year Data Pull'!$A$1:$CB$1,0)),"")</f>
        <v>0</v>
      </c>
      <c r="AI58" s="38">
        <f>IFERROR(INDEX('Prior Year Data Pull'!$A$2:$CB$593,MATCH(C58,'Prior Year Data Pull'!$A$2:$A$593,0),MATCH("Depreciation and Amortization Expense",'Prior Year Data Pull'!$A$1:$CB$1,0)),"")</f>
        <v>232000</v>
      </c>
      <c r="AJ58" s="38">
        <f>IFERROR(INDEX('Prior Year Data Pull'!$A$2:$CB$593,MATCH(C58,'Prior Year Data Pull'!$A$2:$A$593,0),MATCH("Net Patient Accounts Receivable",'Prior Year Data Pull'!$A$1:$CB$1,0)),"")</f>
        <v>0</v>
      </c>
      <c r="AK58" s="14">
        <v>365</v>
      </c>
      <c r="AL58" s="38">
        <f>IFERROR(INDEX('Prior Year Data Pull'!$A$2:$CB$593,MATCH(C58,'Prior Year Data Pull'!$A$2:$A$593,0),MATCH("Estimated Third Party Settlements",'Prior Year Data Pull'!$A$1:$CB$1,0)),"")</f>
        <v>0</v>
      </c>
      <c r="AM58" s="38">
        <f>IFERROR(INDEX('Prior Year Data Pull'!$A$2:$CB$593,MATCH(C58,'Prior Year Data Pull'!$A$2:$A$593,0),MATCH("Current Liabilities due to Affiliates",'Prior Year Data Pull'!$A$1:$CB$1,0)),"")</f>
        <v>0</v>
      </c>
      <c r="AN58" s="38">
        <f>IFERROR(INDEX('Prior Year Data Pull'!$A$2:$CB$593,MATCH(C58,'Prior Year Data Pull'!$A$2:$A$593,0),MATCH("Short Term Investments",'Prior Year Data Pull'!$A$1:$CB$1,0)),"")</f>
        <v>0</v>
      </c>
      <c r="AO58" s="38">
        <f>IFERROR(INDEX('Prior Year Data Pull'!$A$2:$CB$593,MATCH(C58,'Prior Year Data Pull'!$A$2:$A$593,0),MATCH("Cash and Cash Equivalents",'Prior Year Data Pull'!$A$1:$CB$1,0)),"")</f>
        <v>0</v>
      </c>
      <c r="AP58" s="38">
        <f>IFERROR(INDEX('Prior Year Data Pull'!$A$2:$CB$593,MATCH(C58,'Prior Year Data Pull'!$A$2:$A$593,0),MATCH("Interest Expense",'Prior Year Data Pull'!$A$1:$CB$1,0)),"")</f>
        <v>0</v>
      </c>
      <c r="AQ58" s="38">
        <f>IFERROR(INDEX('Prior Year Data Pull'!$A$2:$CB$593,MATCH(C58,'Prior Year Data Pull'!$A$2:$A$593,0),MATCH("Long Term Debt Net of Current Portion",'Prior Year Data Pull'!$A$1:$CB$1,0)),"")</f>
        <v>0</v>
      </c>
      <c r="AR58" s="38">
        <f>IFERROR(INDEX('Prior Year Data Pull'!$A$2:$CB$593,MATCH(C58,'Prior Year Data Pull'!$A$2:$A$593,0),MATCH("Total Assets",'Prior Year Data Pull'!$A$1:$CB$1,0)),"")</f>
        <v>0</v>
      </c>
      <c r="AS58" s="38">
        <f>IFERROR(INDEX('Prior Year Data Pull'!$A$2:$CB$593,MATCH(C58,'Prior Year Data Pull'!$A$2:$A$593,0),MATCH("Long Term Debt Net of Current Portion",'Prior Year Data Pull'!$A$1:$CB$1,0)),"")</f>
        <v>0</v>
      </c>
      <c r="AT58" s="38">
        <f>IFERROR(INDEX('Prior Year Data Pull'!$A$2:$CB$593,MATCH(C58,'Prior Year Data Pull'!$A$2:$A$593,0),MATCH("Net Unrestricted Assets",'Prior Year Data Pull'!$A$1:$CB$1,0)),"")</f>
        <v>0</v>
      </c>
      <c r="AU58" s="38">
        <f>IFERROR(INDEX('Prior Year Data Pull'!$A$2:$CB$593,MATCH(C58,'Prior Year Data Pull'!$A$2:$A$593,0),MATCH("Unrealized Gains/Losses",'Prior Year Data Pull'!$A$1:$CB$1,0)),"")</f>
        <v>0</v>
      </c>
      <c r="AV58" s="38">
        <f>IFERROR(INDEX('Prior Year Data Pull'!$A$2:$CB$593,MATCH(C58,'Prior Year Data Pull'!$A$2:$A$593,0),MATCH("Salary and Benefit Expense",'Prior Year Data Pull'!$A$1:$CB$1,0)),"")</f>
        <v>54421000</v>
      </c>
    </row>
    <row r="59" spans="1:48" ht="34.200000000000003" x14ac:dyDescent="0.3">
      <c r="A59" s="46" t="str">
        <f>IFERROR(INDEX('Static Data Tab'!$N$2:$N$610,MATCH(D59,'Static Data Tab'!$D$2:$D$610,0)), "")</f>
        <v>Mass General Brigham</v>
      </c>
      <c r="B59" s="46" t="s">
        <v>156</v>
      </c>
      <c r="C59" s="46">
        <v>8644</v>
      </c>
      <c r="D59" s="46">
        <v>3791</v>
      </c>
      <c r="E59" s="46" t="str">
        <f>IFERROR(INDEX('Prior Year Data Pull'!$A$1:$CB$593,MATCH(C59,'Prior Year Data Pull'!$A$1:$A$593,0),MATCH("Organization Type",'Prior Year Data Pull'!$A$1:$CB$1,0)),"")</f>
        <v>PhysicianOrganization</v>
      </c>
      <c r="F59" s="46" t="str">
        <f>IFERROR(INDEX('Static Data Tab'!$E$2:$E$610,MATCH(C59,'Static Data Tab'!$B$2:$B$610,0)), "-")</f>
        <v>-</v>
      </c>
      <c r="G59" s="46" t="str">
        <f>IFERROR(INDEX('Static Data Tab'!$J$2:$J$610,MATCH(C59,'Static Data Tab'!$B$2:$B$610,0)), "")</f>
        <v/>
      </c>
      <c r="H59" s="46" t="str">
        <f>IFERROR(INDEX('Static Data Tab'!$F$2:$F$610,MATCH(C59,'Static Data Tab'!$B$2:$B$610,0)), "")</f>
        <v/>
      </c>
      <c r="I59" s="46" t="str">
        <f>IFERROR(INDEX('Static Data Tab'!$G$2:$G$610,MATCH(C59,'Static Data Tab'!$B$2:$B$610,0)), "")</f>
        <v/>
      </c>
      <c r="J59" s="46" t="str">
        <f>IFERROR(INDEX('Prior Year Data Pull'!$A$2:$CB$593,MATCH(C59,'Prior Year Data Pull'!$A$2:$A$593,0),MATCH("Quarter Range",'Prior Year Data Pull'!$A$1:$CB$1,0)),"")</f>
        <v xml:space="preserve">10/01/2024-09/30/2025
</v>
      </c>
      <c r="K59" s="45">
        <f t="shared" si="0"/>
        <v>-0.12966060741236385</v>
      </c>
      <c r="L59" s="45">
        <f t="shared" si="1"/>
        <v>1.1523735177130961E-3</v>
      </c>
      <c r="M59" s="45">
        <f t="shared" si="2"/>
        <v>-0.12850823389465077</v>
      </c>
      <c r="N59" s="47">
        <f t="shared" si="3"/>
        <v>-17285000</v>
      </c>
      <c r="O59" s="265" t="str">
        <f t="shared" si="4"/>
        <v/>
      </c>
      <c r="P59" s="47">
        <f>IFERROR(INDEX('Prior Year Data Pull'!$A$2:$CB$593,MATCH('Prior Year Data Table'!$C59,'Prior Year Data Pull'!$A$2:$A$593,0),MATCH("Total Net Assets or Equity",'Prior Year Data Pull'!$A$1:$CB$1,0)),"")</f>
        <v>0</v>
      </c>
      <c r="Q59" s="47">
        <f>IFERROR(INDEX('Prior Year Data Pull'!$A$2:$CB$593,MATCH('Prior Year Data Table'!$C59,'Prior Year Data Pull'!$A$2:$A$593,0),MATCH("Total Operating Revenue",'Prior Year Data Pull'!$A$1:$CB$1,0)),"")</f>
        <v>134350000</v>
      </c>
      <c r="R59" s="47">
        <f>IFERROR(INDEX('Prior Year Data Pull'!$A$2:$CB$593,MATCH('Prior Year Data Table'!$C59,'Prior Year Data Pull'!$A$2:$A$593,0),MATCH("Total Unrestricted Revenue Gains and Other Support",'Prior Year Data Pull'!$A$1:$CB$1,0)),"")</f>
        <v>134505000</v>
      </c>
      <c r="S59" s="47">
        <f>IFERROR(INDEX('Prior Year TS Data Pull'!$K$2:$K$607,MATCH(C59,'Prior Year TS Data Pull'!$A$2:$A$607,0))+INDEX('Prior Year TS Data Pull'!$O$2:$O$119,MATCH(C59,'Prior Year TS Data Pull'!$A$2:$A$607,0))+INDEX('Prior Year TS Data Pull'!$S$2:$S$119,MATCH(C59,'Prior Year TS Data Pull'!$A$2:$A$607,0)),"")</f>
        <v>185677.15333333332</v>
      </c>
      <c r="T59" s="47">
        <f>IF(INDEX('Prior Year TS Data Pull'!$A$1:$O$607,MATCH(C59,'Prior Year TS Data Pull'!$A$1:$A$607,0),MATCH("Temporary RN Staffing:
Line Reported on in Standardized Financials",'Prior Year TS Data Pull'!$A$1:$O$1,0))="66.1: Salary and Benefit Expense",'Prior Year Data Table'!$AV59-'Prior Year Data Table'!$S59,0)</f>
        <v>0</v>
      </c>
      <c r="U59" s="47">
        <f>IFERROR(INDEX('Prior Year Data Pull'!$A$2:$CB$593,MATCH(C59,'Prior Year Data Pull'!$A$2:$A$593,0),MATCH("Total Expenses Including Nonrecurring Gains Losses",'Prior Year Data Pull'!$A$1:$CB$1,0)),"")</f>
        <v>151790000</v>
      </c>
      <c r="V59" s="266">
        <f t="shared" si="5"/>
        <v>0</v>
      </c>
      <c r="W59" s="266">
        <f t="shared" si="6"/>
        <v>0</v>
      </c>
      <c r="X59" s="266">
        <f t="shared" si="7"/>
        <v>0</v>
      </c>
      <c r="Y59" s="45" t="str">
        <f t="shared" si="8"/>
        <v/>
      </c>
      <c r="Z59" s="266">
        <f t="shared" si="9"/>
        <v>0</v>
      </c>
      <c r="AA59" s="265" t="str">
        <f t="shared" si="10"/>
        <v/>
      </c>
      <c r="AB59" s="45" t="str">
        <f t="shared" si="11"/>
        <v/>
      </c>
      <c r="AC59" s="45" t="str">
        <f t="shared" si="12"/>
        <v/>
      </c>
      <c r="AD59" s="47">
        <f>IFERROR(INDEX('Prior Year Data Pull'!$A$2:$CB$593,MATCH(C59,'Prior Year Data Pull'!$A$2:$A$593,0),MATCH("Net Patient Service Revenue",'Prior Year Data Pull'!$A$1:$CB$1,0)),"")</f>
        <v>97668000</v>
      </c>
      <c r="AE59" s="47">
        <f>IFERROR(INDEX('Prior Year Data Pull'!$A$2:$CB$593,MATCH(C59,'Prior Year Data Pull'!$A$2:$A$593,0),MATCH("Total Current Assets",'Prior Year Data Pull'!$A$1:$CB$1,0)),"")</f>
        <v>0</v>
      </c>
      <c r="AF59" s="47">
        <f>IFERROR(INDEX('Prior Year Data Pull'!$A$2:$CB$593,MATCH(C59,'Prior Year Data Pull'!$A$2:$A$593,0),MATCH("Total Current Liabilities",'Prior Year Data Pull'!$A$1:$CB$1,0)),"")</f>
        <v>0</v>
      </c>
      <c r="AG59" s="47">
        <f>IFERROR(INDEX('Prior Year Data Pull'!$A$2:$CB$593,MATCH(C59,'Prior Year Data Pull'!$A$2:$A$593,0),MATCH("Total Non Operating Revenue",'Prior Year Data Pull'!$A$1:$CB$1,0)),"")</f>
        <v>155000</v>
      </c>
      <c r="AH59" s="47">
        <f>IFERROR(INDEX('Prior Year Data Pull'!$A$2:$CB$593,MATCH(C59,'Prior Year Data Pull'!$A$2:$A$593,0),MATCH("Less Accumulated Depreciation",'Prior Year Data Pull'!$A$1:$CB$1,0)),"")</f>
        <v>0</v>
      </c>
      <c r="AI59" s="47">
        <f>IFERROR(INDEX('Prior Year Data Pull'!$A$2:$CB$593,MATCH(C59,'Prior Year Data Pull'!$A$2:$A$593,0),MATCH("Depreciation and Amortization Expense",'Prior Year Data Pull'!$A$1:$CB$1,0)),"")</f>
        <v>1499000</v>
      </c>
      <c r="AJ59" s="47">
        <f>IFERROR(INDEX('Prior Year Data Pull'!$A$2:$CB$593,MATCH(C59,'Prior Year Data Pull'!$A$2:$A$593,0),MATCH("Net Patient Accounts Receivable",'Prior Year Data Pull'!$A$1:$CB$1,0)),"")</f>
        <v>0</v>
      </c>
      <c r="AK59" s="46">
        <v>365</v>
      </c>
      <c r="AL59" s="47">
        <f>IFERROR(INDEX('Prior Year Data Pull'!$A$2:$CB$593,MATCH(C59,'Prior Year Data Pull'!$A$2:$A$593,0),MATCH("Estimated Third Party Settlements",'Prior Year Data Pull'!$A$1:$CB$1,0)),"")</f>
        <v>0</v>
      </c>
      <c r="AM59" s="47">
        <f>IFERROR(INDEX('Prior Year Data Pull'!$A$2:$CB$593,MATCH(C59,'Prior Year Data Pull'!$A$2:$A$593,0),MATCH("Current Liabilities due to Affiliates",'Prior Year Data Pull'!$A$1:$CB$1,0)),"")</f>
        <v>0</v>
      </c>
      <c r="AN59" s="47">
        <f>IFERROR(INDEX('Prior Year Data Pull'!$A$2:$CB$593,MATCH(C59,'Prior Year Data Pull'!$A$2:$A$593,0),MATCH("Short Term Investments",'Prior Year Data Pull'!$A$1:$CB$1,0)),"")</f>
        <v>0</v>
      </c>
      <c r="AO59" s="47">
        <f>IFERROR(INDEX('Prior Year Data Pull'!$A$2:$CB$593,MATCH(C59,'Prior Year Data Pull'!$A$2:$A$593,0),MATCH("Cash and Cash Equivalents",'Prior Year Data Pull'!$A$1:$CB$1,0)),"")</f>
        <v>0</v>
      </c>
      <c r="AP59" s="47">
        <f>IFERROR(INDEX('Prior Year Data Pull'!$A$2:$CB$593,MATCH(C59,'Prior Year Data Pull'!$A$2:$A$593,0),MATCH("Interest Expense",'Prior Year Data Pull'!$A$1:$CB$1,0)),"")</f>
        <v>0</v>
      </c>
      <c r="AQ59" s="47">
        <f>IFERROR(INDEX('Prior Year Data Pull'!$A$2:$CB$593,MATCH(C59,'Prior Year Data Pull'!$A$2:$A$593,0),MATCH("Long Term Debt Net of Current Portion",'Prior Year Data Pull'!$A$1:$CB$1,0)),"")</f>
        <v>0</v>
      </c>
      <c r="AR59" s="47">
        <f>IFERROR(INDEX('Prior Year Data Pull'!$A$2:$CB$593,MATCH(C59,'Prior Year Data Pull'!$A$2:$A$593,0),MATCH("Total Assets",'Prior Year Data Pull'!$A$1:$CB$1,0)),"")</f>
        <v>0</v>
      </c>
      <c r="AS59" s="47">
        <f>IFERROR(INDEX('Prior Year Data Pull'!$A$2:$CB$593,MATCH(C59,'Prior Year Data Pull'!$A$2:$A$593,0),MATCH("Long Term Debt Net of Current Portion",'Prior Year Data Pull'!$A$1:$CB$1,0)),"")</f>
        <v>0</v>
      </c>
      <c r="AT59" s="47">
        <f>IFERROR(INDEX('Prior Year Data Pull'!$A$2:$CB$593,MATCH(C59,'Prior Year Data Pull'!$A$2:$A$593,0),MATCH("Net Unrestricted Assets",'Prior Year Data Pull'!$A$1:$CB$1,0)),"")</f>
        <v>0</v>
      </c>
      <c r="AU59" s="47">
        <f>IFERROR(INDEX('Prior Year Data Pull'!$A$2:$CB$593,MATCH(C59,'Prior Year Data Pull'!$A$2:$A$593,0),MATCH("Unrealized Gains/Losses",'Prior Year Data Pull'!$A$1:$CB$1,0)),"")</f>
        <v>0</v>
      </c>
      <c r="AV59" s="47">
        <f>IFERROR(INDEX('Prior Year Data Pull'!$A$2:$CB$593,MATCH(C59,'Prior Year Data Pull'!$A$2:$A$593,0),MATCH("Salary and Benefit Expense",'Prior Year Data Pull'!$A$1:$CB$1,0)),"")</f>
        <v>114249000</v>
      </c>
    </row>
    <row r="60" spans="1:48" ht="34.200000000000003" x14ac:dyDescent="0.3">
      <c r="A60" s="14" t="str">
        <f>IFERROR(INDEX('Static Data Tab'!$N$2:$N$610,MATCH(D60,'Static Data Tab'!$D$2:$D$610,0)), "")</f>
        <v>Beth Israel Lahey Health</v>
      </c>
      <c r="B60" s="14" t="s">
        <v>109</v>
      </c>
      <c r="C60" s="14">
        <v>8655</v>
      </c>
      <c r="D60" s="14">
        <v>16665</v>
      </c>
      <c r="E60" s="14" t="str">
        <f>IFERROR(INDEX('Prior Year Data Pull'!$A$1:$CB$593,MATCH(C60,'Prior Year Data Pull'!$A$1:$A$593,0),MATCH("Organization Type",'Prior Year Data Pull'!$A$1:$CB$1,0)),"")</f>
        <v>PhysicianOrganization</v>
      </c>
      <c r="F60" s="14" t="str">
        <f>IFERROR(INDEX('Static Data Tab'!$E$2:$E$610,MATCH(C60,'Static Data Tab'!$B$2:$B$610,0)), "-")</f>
        <v>-</v>
      </c>
      <c r="G60" s="14" t="str">
        <f>IFERROR(INDEX('Static Data Tab'!$J$2:$J$610,MATCH(C60,'Static Data Tab'!$B$2:$B$610,0)), "")</f>
        <v/>
      </c>
      <c r="H60" s="14" t="str">
        <f>IFERROR(INDEX('Static Data Tab'!$F$2:$F$610,MATCH(C60,'Static Data Tab'!$B$2:$B$610,0)), "")</f>
        <v/>
      </c>
      <c r="I60" s="14" t="str">
        <f>IFERROR(INDEX('Static Data Tab'!$G$2:$G$610,MATCH(C60,'Static Data Tab'!$B$2:$B$610,0)), "")</f>
        <v/>
      </c>
      <c r="J60" s="14" t="str">
        <f>IFERROR(INDEX('Prior Year Data Pull'!$A$2:$CB$593,MATCH(C60,'Prior Year Data Pull'!$A$2:$A$593,0),MATCH("Quarter Range",'Prior Year Data Pull'!$A$1:$CB$1,0)),"")</f>
        <v xml:space="preserve">10/01/2024-09/30/2025
</v>
      </c>
      <c r="K60" s="37">
        <f t="shared" si="0"/>
        <v>-1.0971231043710972</v>
      </c>
      <c r="L60" s="37">
        <f t="shared" si="1"/>
        <v>0</v>
      </c>
      <c r="M60" s="37">
        <f t="shared" si="2"/>
        <v>-1.0971231043710972</v>
      </c>
      <c r="N60" s="38">
        <f t="shared" si="3"/>
        <v>-9839000</v>
      </c>
      <c r="O60" s="39" t="str">
        <f t="shared" si="4"/>
        <v/>
      </c>
      <c r="P60" s="38">
        <f>IFERROR(INDEX('Prior Year Data Pull'!$A$2:$CB$593,MATCH('Prior Year Data Table'!$C60,'Prior Year Data Pull'!$A$2:$A$593,0),MATCH("Total Net Assets or Equity",'Prior Year Data Pull'!$A$1:$CB$1,0)),"")</f>
        <v>0</v>
      </c>
      <c r="Q60" s="38">
        <f>IFERROR(INDEX('Prior Year Data Pull'!$A$2:$CB$593,MATCH('Prior Year Data Table'!$C60,'Prior Year Data Pull'!$A$2:$A$593,0),MATCH("Total Operating Revenue",'Prior Year Data Pull'!$A$1:$CB$1,0)),"")</f>
        <v>8968000</v>
      </c>
      <c r="R60" s="38">
        <f>IFERROR(INDEX('Prior Year Data Pull'!$A$2:$CB$593,MATCH('Prior Year Data Table'!$C60,'Prior Year Data Pull'!$A$2:$A$593,0),MATCH("Total Unrestricted Revenue Gains and Other Support",'Prior Year Data Pull'!$A$1:$CB$1,0)),"")</f>
        <v>8968000</v>
      </c>
      <c r="S60" s="38">
        <f>IFERROR(INDEX('Prior Year TS Data Pull'!$K$2:$K$607,MATCH(C60,'Prior Year TS Data Pull'!$A$2:$A$607,0))+INDEX('Prior Year TS Data Pull'!$O$2:$O$119,MATCH(C60,'Prior Year TS Data Pull'!$A$2:$A$607,0))+INDEX('Prior Year TS Data Pull'!$S$2:$S$119,MATCH(C60,'Prior Year TS Data Pull'!$A$2:$A$607,0)),"")</f>
        <v>0</v>
      </c>
      <c r="T60" s="38">
        <f>IF(INDEX('Prior Year TS Data Pull'!$A$1:$O$607,MATCH(C60,'Prior Year TS Data Pull'!$A$1:$A$607,0),MATCH("Temporary RN Staffing:
Line Reported on in Standardized Financials",'Prior Year TS Data Pull'!$A$1:$O$1,0))="66.1: Salary and Benefit Expense",'Prior Year Data Table'!$AV60-'Prior Year Data Table'!$S60,0)</f>
        <v>17577000</v>
      </c>
      <c r="U60" s="38">
        <f>IFERROR(INDEX('Prior Year Data Pull'!$A$2:$CB$593,MATCH(C60,'Prior Year Data Pull'!$A$2:$A$593,0),MATCH("Total Expenses Including Nonrecurring Gains Losses",'Prior Year Data Pull'!$A$1:$CB$1,0)),"")</f>
        <v>18807000</v>
      </c>
      <c r="V60" s="41">
        <f t="shared" si="5"/>
        <v>0</v>
      </c>
      <c r="W60" s="41">
        <f t="shared" si="6"/>
        <v>0</v>
      </c>
      <c r="X60" s="41">
        <f t="shared" si="7"/>
        <v>0</v>
      </c>
      <c r="Y60" s="37" t="str">
        <f t="shared" si="8"/>
        <v/>
      </c>
      <c r="Z60" s="41">
        <f t="shared" si="9"/>
        <v>0</v>
      </c>
      <c r="AA60" s="39" t="str">
        <f t="shared" si="10"/>
        <v/>
      </c>
      <c r="AB60" s="37" t="str">
        <f t="shared" si="11"/>
        <v/>
      </c>
      <c r="AC60" s="37" t="str">
        <f t="shared" si="12"/>
        <v/>
      </c>
      <c r="AD60" s="38">
        <f>IFERROR(INDEX('Prior Year Data Pull'!$A$2:$CB$593,MATCH(C60,'Prior Year Data Pull'!$A$2:$A$593,0),MATCH("Net Patient Service Revenue",'Prior Year Data Pull'!$A$1:$CB$1,0)),"")</f>
        <v>8395000</v>
      </c>
      <c r="AE60" s="38">
        <f>IFERROR(INDEX('Prior Year Data Pull'!$A$2:$CB$593,MATCH(C60,'Prior Year Data Pull'!$A$2:$A$593,0),MATCH("Total Current Assets",'Prior Year Data Pull'!$A$1:$CB$1,0)),"")</f>
        <v>0</v>
      </c>
      <c r="AF60" s="38">
        <f>IFERROR(INDEX('Prior Year Data Pull'!$A$2:$CB$593,MATCH(C60,'Prior Year Data Pull'!$A$2:$A$593,0),MATCH("Total Current Liabilities",'Prior Year Data Pull'!$A$1:$CB$1,0)),"")</f>
        <v>0</v>
      </c>
      <c r="AG60" s="38">
        <f>IFERROR(INDEX('Prior Year Data Pull'!$A$2:$CB$593,MATCH(C60,'Prior Year Data Pull'!$A$2:$A$593,0),MATCH("Total Non Operating Revenue",'Prior Year Data Pull'!$A$1:$CB$1,0)),"")</f>
        <v>0</v>
      </c>
      <c r="AH60" s="38">
        <f>IFERROR(INDEX('Prior Year Data Pull'!$A$2:$CB$593,MATCH(C60,'Prior Year Data Pull'!$A$2:$A$593,0),MATCH("Less Accumulated Depreciation",'Prior Year Data Pull'!$A$1:$CB$1,0)),"")</f>
        <v>0</v>
      </c>
      <c r="AI60" s="38">
        <f>IFERROR(INDEX('Prior Year Data Pull'!$A$2:$CB$593,MATCH(C60,'Prior Year Data Pull'!$A$2:$A$593,0),MATCH("Depreciation and Amortization Expense",'Prior Year Data Pull'!$A$1:$CB$1,0)),"")</f>
        <v>64000</v>
      </c>
      <c r="AJ60" s="38">
        <f>IFERROR(INDEX('Prior Year Data Pull'!$A$2:$CB$593,MATCH(C60,'Prior Year Data Pull'!$A$2:$A$593,0),MATCH("Net Patient Accounts Receivable",'Prior Year Data Pull'!$A$1:$CB$1,0)),"")</f>
        <v>0</v>
      </c>
      <c r="AK60" s="14">
        <v>365</v>
      </c>
      <c r="AL60" s="38">
        <f>IFERROR(INDEX('Prior Year Data Pull'!$A$2:$CB$593,MATCH(C60,'Prior Year Data Pull'!$A$2:$A$593,0),MATCH("Estimated Third Party Settlements",'Prior Year Data Pull'!$A$1:$CB$1,0)),"")</f>
        <v>0</v>
      </c>
      <c r="AM60" s="38">
        <f>IFERROR(INDEX('Prior Year Data Pull'!$A$2:$CB$593,MATCH(C60,'Prior Year Data Pull'!$A$2:$A$593,0),MATCH("Current Liabilities due to Affiliates",'Prior Year Data Pull'!$A$1:$CB$1,0)),"")</f>
        <v>0</v>
      </c>
      <c r="AN60" s="38">
        <f>IFERROR(INDEX('Prior Year Data Pull'!$A$2:$CB$593,MATCH(C60,'Prior Year Data Pull'!$A$2:$A$593,0),MATCH("Short Term Investments",'Prior Year Data Pull'!$A$1:$CB$1,0)),"")</f>
        <v>0</v>
      </c>
      <c r="AO60" s="38">
        <f>IFERROR(INDEX('Prior Year Data Pull'!$A$2:$CB$593,MATCH(C60,'Prior Year Data Pull'!$A$2:$A$593,0),MATCH("Cash and Cash Equivalents",'Prior Year Data Pull'!$A$1:$CB$1,0)),"")</f>
        <v>0</v>
      </c>
      <c r="AP60" s="38">
        <f>IFERROR(INDEX('Prior Year Data Pull'!$A$2:$CB$593,MATCH(C60,'Prior Year Data Pull'!$A$2:$A$593,0),MATCH("Interest Expense",'Prior Year Data Pull'!$A$1:$CB$1,0)),"")</f>
        <v>0</v>
      </c>
      <c r="AQ60" s="38">
        <f>IFERROR(INDEX('Prior Year Data Pull'!$A$2:$CB$593,MATCH(C60,'Prior Year Data Pull'!$A$2:$A$593,0),MATCH("Long Term Debt Net of Current Portion",'Prior Year Data Pull'!$A$1:$CB$1,0)),"")</f>
        <v>0</v>
      </c>
      <c r="AR60" s="38">
        <f>IFERROR(INDEX('Prior Year Data Pull'!$A$2:$CB$593,MATCH(C60,'Prior Year Data Pull'!$A$2:$A$593,0),MATCH("Total Assets",'Prior Year Data Pull'!$A$1:$CB$1,0)),"")</f>
        <v>0</v>
      </c>
      <c r="AS60" s="38">
        <f>IFERROR(INDEX('Prior Year Data Pull'!$A$2:$CB$593,MATCH(C60,'Prior Year Data Pull'!$A$2:$A$593,0),MATCH("Long Term Debt Net of Current Portion",'Prior Year Data Pull'!$A$1:$CB$1,0)),"")</f>
        <v>0</v>
      </c>
      <c r="AT60" s="38">
        <f>IFERROR(INDEX('Prior Year Data Pull'!$A$2:$CB$593,MATCH(C60,'Prior Year Data Pull'!$A$2:$A$593,0),MATCH("Net Unrestricted Assets",'Prior Year Data Pull'!$A$1:$CB$1,0)),"")</f>
        <v>0</v>
      </c>
      <c r="AU60" s="38">
        <f>IFERROR(INDEX('Prior Year Data Pull'!$A$2:$CB$593,MATCH(C60,'Prior Year Data Pull'!$A$2:$A$593,0),MATCH("Unrealized Gains/Losses",'Prior Year Data Pull'!$A$1:$CB$1,0)),"")</f>
        <v>0</v>
      </c>
      <c r="AV60" s="38">
        <f>IFERROR(INDEX('Prior Year Data Pull'!$A$2:$CB$593,MATCH(C60,'Prior Year Data Pull'!$A$2:$A$593,0),MATCH("Salary and Benefit Expense",'Prior Year Data Pull'!$A$1:$CB$1,0)),"")</f>
        <v>17577000</v>
      </c>
    </row>
    <row r="61" spans="1:48" ht="34.200000000000003" x14ac:dyDescent="0.3">
      <c r="A61" s="46" t="str">
        <f>IFERROR(INDEX('Static Data Tab'!$N$2:$N$610,MATCH(D61,'Static Data Tab'!$D$2:$D$610,0)), "")</f>
        <v>Boston Medical Center Health System</v>
      </c>
      <c r="B61" s="46" t="s">
        <v>692</v>
      </c>
      <c r="C61" s="46">
        <v>8701</v>
      </c>
      <c r="D61" s="46">
        <v>14287</v>
      </c>
      <c r="E61" s="46" t="str">
        <f>IFERROR(INDEX('Prior Year Data Pull'!$A$1:$CB$593,MATCH(C61,'Prior Year Data Pull'!$A$1:$A$593,0),MATCH("Organization Type",'Prior Year Data Pull'!$A$1:$CB$1,0)),"")</f>
        <v>AcuteHospital</v>
      </c>
      <c r="F61" s="46" t="str">
        <f>IFERROR(INDEX('Static Data Tab'!$E$2:$E$610,MATCH(C61,'Static Data Tab'!$B$2:$B$610,0)), "-")</f>
        <v>Community-High Public Payer Hospital</v>
      </c>
      <c r="G61" s="46" t="str">
        <f>IFERROR(INDEX('Static Data Tab'!$J$2:$J$610,MATCH(C61,'Static Data Tab'!$B$2:$B$610,0)), "")</f>
        <v>Metro South</v>
      </c>
      <c r="H61" s="46" t="str">
        <f>IFERROR(INDEX('Static Data Tab'!$F$2:$F$610,MATCH(C61,'Static Data Tab'!$B$2:$B$610,0)), "")</f>
        <v>x</v>
      </c>
      <c r="I61" s="46">
        <f>IFERROR(INDEX('Static Data Tab'!$G$2:$G$610,MATCH(C61,'Static Data Tab'!$B$2:$B$610,0)), "")</f>
        <v>0</v>
      </c>
      <c r="J61" s="46" t="str">
        <f>IFERROR(INDEX('Prior Year Data Pull'!$A$2:$CB$593,MATCH(C61,'Prior Year Data Pull'!$A$2:$A$593,0),MATCH("Quarter Range",'Prior Year Data Pull'!$A$1:$CB$1,0)),"")</f>
        <v xml:space="preserve">10/01/2024-09/30/2025
</v>
      </c>
      <c r="K61" s="45">
        <f t="shared" si="0"/>
        <v>-0.12571066161987224</v>
      </c>
      <c r="L61" s="45">
        <f t="shared" si="1"/>
        <v>7.5100213361723399E-4</v>
      </c>
      <c r="M61" s="45">
        <f t="shared" si="2"/>
        <v>-0.12495965948625501</v>
      </c>
      <c r="N61" s="47">
        <f t="shared" si="3"/>
        <v>-36380795</v>
      </c>
      <c r="O61" s="265">
        <f t="shared" si="4"/>
        <v>0.70348930732623471</v>
      </c>
      <c r="P61" s="47">
        <f>IFERROR(INDEX('Prior Year Data Pull'!$A$2:$CB$593,MATCH('Prior Year Data Table'!$C61,'Prior Year Data Pull'!$A$2:$A$593,0),MATCH("Total Net Assets or Equity",'Prior Year Data Pull'!$A$1:$CB$1,0)),"")</f>
        <v>100333765</v>
      </c>
      <c r="Q61" s="47">
        <f>IFERROR(INDEX('Prior Year Data Pull'!$A$2:$CB$593,MATCH('Prior Year Data Table'!$C61,'Prior Year Data Pull'!$A$2:$A$593,0),MATCH("Total Operating Revenue",'Prior Year Data Pull'!$A$1:$CB$1,0)),"")</f>
        <v>290921671</v>
      </c>
      <c r="R61" s="47">
        <f>IFERROR(INDEX('Prior Year Data Pull'!$A$2:$CB$593,MATCH('Prior Year Data Table'!$C61,'Prior Year Data Pull'!$A$2:$A$593,0),MATCH("Total Unrestricted Revenue Gains and Other Support",'Prior Year Data Pull'!$A$1:$CB$1,0)),"")</f>
        <v>291140318</v>
      </c>
      <c r="S61" s="47">
        <f>IFERROR(INDEX('Prior Year TS Data Pull'!$K$2:$K$607,MATCH(C61,'Prior Year TS Data Pull'!$A$2:$A$607,0))+INDEX('Prior Year TS Data Pull'!$O$2:$O$119,MATCH(C61,'Prior Year TS Data Pull'!$A$2:$A$607,0))+INDEX('Prior Year TS Data Pull'!$S$2:$S$119,MATCH(C61,'Prior Year TS Data Pull'!$A$2:$A$607,0)),"")</f>
        <v>34440.68</v>
      </c>
      <c r="T61" s="47">
        <f>IF(INDEX('Prior Year TS Data Pull'!$A$1:$O$607,MATCH(C61,'Prior Year TS Data Pull'!$A$1:$A$607,0),MATCH("Temporary RN Staffing:
Line Reported on in Standardized Financials",'Prior Year TS Data Pull'!$A$1:$O$1,0))="66.1: Salary and Benefit Expense",'Prior Year Data Table'!$AV61-'Prior Year Data Table'!$S61,0)</f>
        <v>149356248.31999999</v>
      </c>
      <c r="U61" s="47">
        <f>IFERROR(INDEX('Prior Year Data Pull'!$A$2:$CB$593,MATCH(C61,'Prior Year Data Pull'!$A$2:$A$593,0),MATCH("Total Expenses Including Nonrecurring Gains Losses",'Prior Year Data Pull'!$A$1:$CB$1,0)),"")</f>
        <v>327521113</v>
      </c>
      <c r="V61" s="266">
        <f t="shared" si="5"/>
        <v>0.83866333522197767</v>
      </c>
      <c r="W61" s="266">
        <f t="shared" si="6"/>
        <v>42.031081354683437</v>
      </c>
      <c r="X61" s="266">
        <f t="shared" si="7"/>
        <v>250.05394847085228</v>
      </c>
      <c r="Y61" s="45">
        <f t="shared" si="8"/>
        <v>-0.21569861751072145</v>
      </c>
      <c r="Z61" s="266">
        <f t="shared" si="9"/>
        <v>39.392559707602274</v>
      </c>
      <c r="AA61" s="265">
        <f t="shared" si="10"/>
        <v>-2.3616478208477987</v>
      </c>
      <c r="AB61" s="45">
        <f t="shared" si="11"/>
        <v>0.30256497773320823</v>
      </c>
      <c r="AC61" s="45">
        <f t="shared" si="12"/>
        <v>0.10169011830314208</v>
      </c>
      <c r="AD61" s="47">
        <f>IFERROR(INDEX('Prior Year Data Pull'!$A$2:$CB$593,MATCH(C61,'Prior Year Data Pull'!$A$2:$A$593,0),MATCH("Net Patient Service Revenue",'Prior Year Data Pull'!$A$1:$CB$1,0)),"")</f>
        <v>237368547</v>
      </c>
      <c r="AE61" s="47">
        <f>IFERROR(INDEX('Prior Year Data Pull'!$A$2:$CB$593,MATCH(C61,'Prior Year Data Pull'!$A$2:$A$593,0),MATCH("Total Current Assets",'Prior Year Data Pull'!$A$1:$CB$1,0)),"")</f>
        <v>154578613</v>
      </c>
      <c r="AF61" s="47">
        <f>IFERROR(INDEX('Prior Year Data Pull'!$A$2:$CB$593,MATCH(C61,'Prior Year Data Pull'!$A$2:$A$593,0),MATCH("Total Current Liabilities",'Prior Year Data Pull'!$A$1:$CB$1,0)),"")</f>
        <v>219731290</v>
      </c>
      <c r="AG61" s="47">
        <f>IFERROR(INDEX('Prior Year Data Pull'!$A$2:$CB$593,MATCH(C61,'Prior Year Data Pull'!$A$2:$A$593,0),MATCH("Total Non Operating Revenue",'Prior Year Data Pull'!$A$1:$CB$1,0)),"")</f>
        <v>218647</v>
      </c>
      <c r="AH61" s="47">
        <f>IFERROR(INDEX('Prior Year Data Pull'!$A$2:$CB$593,MATCH(C61,'Prior Year Data Pull'!$A$2:$A$593,0),MATCH("Less Accumulated Depreciation",'Prior Year Data Pull'!$A$1:$CB$1,0)),"")</f>
        <v>5688354</v>
      </c>
      <c r="AI61" s="47">
        <f>IFERROR(INDEX('Prior Year Data Pull'!$A$2:$CB$593,MATCH(C61,'Prior Year Data Pull'!$A$2:$A$593,0),MATCH("Depreciation and Amortization Expense",'Prior Year Data Pull'!$A$1:$CB$1,0)),"")</f>
        <v>6782643</v>
      </c>
      <c r="AJ61" s="47">
        <f>IFERROR(INDEX('Prior Year Data Pull'!$A$2:$CB$593,MATCH(C61,'Prior Year Data Pull'!$A$2:$A$593,0),MATCH("Net Patient Accounts Receivable",'Prior Year Data Pull'!$A$1:$CB$1,0)),"")</f>
        <v>27333854</v>
      </c>
      <c r="AK61" s="46">
        <v>365</v>
      </c>
      <c r="AL61" s="47">
        <f>IFERROR(INDEX('Prior Year Data Pull'!$A$2:$CB$593,MATCH(C61,'Prior Year Data Pull'!$A$2:$A$593,0),MATCH("Estimated Third Party Settlements",'Prior Year Data Pull'!$A$1:$CB$1,0)),"")</f>
        <v>0</v>
      </c>
      <c r="AM61" s="47">
        <f>IFERROR(INDEX('Prior Year Data Pull'!$A$2:$CB$593,MATCH(C61,'Prior Year Data Pull'!$A$2:$A$593,0),MATCH("Current Liabilities due to Affiliates",'Prior Year Data Pull'!$A$1:$CB$1,0)),"")</f>
        <v>125862000</v>
      </c>
      <c r="AN61" s="47">
        <f>IFERROR(INDEX('Prior Year Data Pull'!$A$2:$CB$593,MATCH(C61,'Prior Year Data Pull'!$A$2:$A$593,0),MATCH("Short Term Investments",'Prior Year Data Pull'!$A$1:$CB$1,0)),"")</f>
        <v>0</v>
      </c>
      <c r="AO61" s="47">
        <f>IFERROR(INDEX('Prior Year Data Pull'!$A$2:$CB$593,MATCH(C61,'Prior Year Data Pull'!$A$2:$A$593,0),MATCH("Cash and Cash Equivalents",'Prior Year Data Pull'!$A$1:$CB$1,0)),"")</f>
        <v>34615642</v>
      </c>
      <c r="AP61" s="47">
        <f>IFERROR(INDEX('Prior Year Data Pull'!$A$2:$CB$593,MATCH(C61,'Prior Year Data Pull'!$A$2:$A$593,0),MATCH("Interest Expense",'Prior Year Data Pull'!$A$1:$CB$1,0)),"")</f>
        <v>825396</v>
      </c>
      <c r="AQ61" s="47">
        <f>IFERROR(INDEX('Prior Year Data Pull'!$A$2:$CB$593,MATCH(C61,'Prior Year Data Pull'!$A$2:$A$593,0),MATCH("Long Term Debt Net of Current Portion",'Prior Year Data Pull'!$A$1:$CB$1,0)),"")</f>
        <v>11357943</v>
      </c>
      <c r="AR61" s="47">
        <f>IFERROR(INDEX('Prior Year Data Pull'!$A$2:$CB$593,MATCH(C61,'Prior Year Data Pull'!$A$2:$A$593,0),MATCH("Total Assets",'Prior Year Data Pull'!$A$1:$CB$1,0)),"")</f>
        <v>331610637</v>
      </c>
      <c r="AS61" s="47">
        <f>IFERROR(INDEX('Prior Year Data Pull'!$A$2:$CB$593,MATCH(C61,'Prior Year Data Pull'!$A$2:$A$593,0),MATCH("Long Term Debt Net of Current Portion",'Prior Year Data Pull'!$A$1:$CB$1,0)),"")</f>
        <v>11357943</v>
      </c>
      <c r="AT61" s="47">
        <f>IFERROR(INDEX('Prior Year Data Pull'!$A$2:$CB$593,MATCH(C61,'Prior Year Data Pull'!$A$2:$A$593,0),MATCH("Net Unrestricted Assets",'Prior Year Data Pull'!$A$1:$CB$1,0)),"")</f>
        <v>100333765</v>
      </c>
      <c r="AU61" s="47">
        <f>IFERROR(INDEX('Prior Year Data Pull'!$A$2:$CB$593,MATCH(C61,'Prior Year Data Pull'!$A$2:$A$593,0),MATCH("Unrealized Gains/Losses",'Prior Year Data Pull'!$A$1:$CB$1,0)),"")</f>
        <v>0</v>
      </c>
      <c r="AV61" s="47">
        <f>IFERROR(INDEX('Prior Year Data Pull'!$A$2:$CB$593,MATCH(C61,'Prior Year Data Pull'!$A$2:$A$593,0),MATCH("Salary and Benefit Expense",'Prior Year Data Pull'!$A$1:$CB$1,0)),"")</f>
        <v>149390689</v>
      </c>
    </row>
    <row r="62" spans="1:48" ht="34.200000000000003" x14ac:dyDescent="0.3">
      <c r="A62" s="14" t="str">
        <f>IFERROR(INDEX('Static Data Tab'!$N$2:$N$610,MATCH(D62,'Static Data Tab'!$D$2:$D$610,0)), "")</f>
        <v>Beth Israel Lahey Health</v>
      </c>
      <c r="B62" s="14" t="s">
        <v>95</v>
      </c>
      <c r="C62" s="14">
        <v>8702</v>
      </c>
      <c r="D62" s="14">
        <v>16665</v>
      </c>
      <c r="E62" s="14" t="str">
        <f>IFERROR(INDEX('Prior Year Data Pull'!$A$1:$CB$593,MATCH(C62,'Prior Year Data Pull'!$A$1:$A$593,0),MATCH("Organization Type",'Prior Year Data Pull'!$A$1:$CB$1,0)),"")</f>
        <v>AcuteHospital</v>
      </c>
      <c r="F62" s="14" t="str">
        <f>IFERROR(INDEX('Static Data Tab'!$E$2:$E$610,MATCH(C62,'Static Data Tab'!$B$2:$B$610,0)), "-")</f>
        <v>Academic Medical Center</v>
      </c>
      <c r="G62" s="14" t="str">
        <f>IFERROR(INDEX('Static Data Tab'!$J$2:$J$610,MATCH(C62,'Static Data Tab'!$B$2:$B$610,0)), "")</f>
        <v>Metro Boston</v>
      </c>
      <c r="H62" s="14">
        <f>IFERROR(INDEX('Static Data Tab'!$F$2:$F$610,MATCH(C62,'Static Data Tab'!$B$2:$B$610,0)), "")</f>
        <v>0</v>
      </c>
      <c r="I62" s="14" t="str">
        <f>IFERROR(INDEX('Static Data Tab'!$G$2:$G$610,MATCH(C62,'Static Data Tab'!$B$2:$B$610,0)), "")</f>
        <v>x</v>
      </c>
      <c r="J62" s="14" t="str">
        <f>IFERROR(INDEX('Prior Year Data Pull'!$A$2:$CB$593,MATCH(C62,'Prior Year Data Pull'!$A$2:$A$593,0),MATCH("Quarter Range",'Prior Year Data Pull'!$A$1:$CB$1,0)),"")</f>
        <v xml:space="preserve">10/01/2024-09/30/2025
</v>
      </c>
      <c r="K62" s="37">
        <f t="shared" si="0"/>
        <v>3.8459268089301016E-2</v>
      </c>
      <c r="L62" s="37">
        <f t="shared" si="1"/>
        <v>3.1321834963335696E-2</v>
      </c>
      <c r="M62" s="37">
        <f t="shared" si="2"/>
        <v>6.9781103052636712E-2</v>
      </c>
      <c r="N62" s="38">
        <f t="shared" si="3"/>
        <v>243520000</v>
      </c>
      <c r="O62" s="39">
        <f t="shared" si="4"/>
        <v>5.1481668253273982</v>
      </c>
      <c r="P62" s="38">
        <f>IFERROR(INDEX('Prior Year Data Pull'!$A$2:$CB$593,MATCH('Prior Year Data Table'!$C62,'Prior Year Data Pull'!$A$2:$A$593,0),MATCH("Total Net Assets or Equity",'Prior Year Data Pull'!$A$1:$CB$1,0)),"")</f>
        <v>1848887000</v>
      </c>
      <c r="Q62" s="38">
        <f>IFERROR(INDEX('Prior Year Data Pull'!$A$2:$CB$593,MATCH('Prior Year Data Table'!$C62,'Prior Year Data Pull'!$A$2:$A$593,0),MATCH("Total Operating Revenue",'Prior Year Data Pull'!$A$1:$CB$1,0)),"")</f>
        <v>3380464000</v>
      </c>
      <c r="R62" s="38">
        <f>IFERROR(INDEX('Prior Year Data Pull'!$A$2:$CB$593,MATCH('Prior Year Data Table'!$C62,'Prior Year Data Pull'!$A$2:$A$593,0),MATCH("Total Unrestricted Revenue Gains and Other Support",'Prior Year Data Pull'!$A$1:$CB$1,0)),"")</f>
        <v>3489770000</v>
      </c>
      <c r="S62" s="38">
        <f>IFERROR(INDEX('Prior Year TS Data Pull'!$K$2:$K$607,MATCH(C62,'Prior Year TS Data Pull'!$A$2:$A$607,0))+INDEX('Prior Year TS Data Pull'!$O$2:$O$119,MATCH(C62,'Prior Year TS Data Pull'!$A$2:$A$607,0))+INDEX('Prior Year TS Data Pull'!$S$2:$S$119,MATCH(C62,'Prior Year TS Data Pull'!$A$2:$A$607,0)),"")</f>
        <v>1571569.36</v>
      </c>
      <c r="T62" s="38">
        <f>IF(INDEX('Prior Year TS Data Pull'!$A$1:$O$607,MATCH(C62,'Prior Year TS Data Pull'!$A$1:$A$607,0),MATCH("Temporary RN Staffing:
Line Reported on in Standardized Financials",'Prior Year TS Data Pull'!$A$1:$O$1,0))="66.1: Salary and Benefit Expense",'Prior Year Data Table'!$AV62-'Prior Year Data Table'!$S62,0)</f>
        <v>1126217430.6400001</v>
      </c>
      <c r="U62" s="38">
        <f>IFERROR(INDEX('Prior Year Data Pull'!$A$2:$CB$593,MATCH(C62,'Prior Year Data Pull'!$A$2:$A$593,0),MATCH("Total Expenses Including Nonrecurring Gains Losses",'Prior Year Data Pull'!$A$1:$CB$1,0)),"")</f>
        <v>3246250000</v>
      </c>
      <c r="V62" s="41">
        <f t="shared" si="5"/>
        <v>24.293823680164017</v>
      </c>
      <c r="W62" s="41">
        <f t="shared" si="6"/>
        <v>44.222249439422207</v>
      </c>
      <c r="X62" s="41">
        <f t="shared" si="7"/>
        <v>45.104827082693383</v>
      </c>
      <c r="Y62" s="37">
        <f t="shared" si="8"/>
        <v>0.12537575799668776</v>
      </c>
      <c r="Z62" s="41">
        <f t="shared" si="9"/>
        <v>90.007237348789971</v>
      </c>
      <c r="AA62" s="39">
        <f t="shared" si="10"/>
        <v>0.14886494637208358</v>
      </c>
      <c r="AB62" s="37">
        <f t="shared" si="11"/>
        <v>0.38660629468644186</v>
      </c>
      <c r="AC62" s="37">
        <f t="shared" si="12"/>
        <v>0.59284383138056229</v>
      </c>
      <c r="AD62" s="38">
        <f>IFERROR(INDEX('Prior Year Data Pull'!$A$2:$CB$593,MATCH(C62,'Prior Year Data Pull'!$A$2:$A$593,0),MATCH("Net Patient Service Revenue",'Prior Year Data Pull'!$A$1:$CB$1,0)),"")</f>
        <v>2359619000</v>
      </c>
      <c r="AE62" s="38">
        <f>IFERROR(INDEX('Prior Year Data Pull'!$A$2:$CB$593,MATCH(C62,'Prior Year Data Pull'!$A$2:$A$593,0),MATCH("Total Current Assets",'Prior Year Data Pull'!$A$1:$CB$1,0)),"")</f>
        <v>2000938000</v>
      </c>
      <c r="AF62" s="38">
        <f>IFERROR(INDEX('Prior Year Data Pull'!$A$2:$CB$593,MATCH(C62,'Prior Year Data Pull'!$A$2:$A$593,0),MATCH("Total Current Liabilities",'Prior Year Data Pull'!$A$1:$CB$1,0)),"")</f>
        <v>388670000</v>
      </c>
      <c r="AG62" s="38">
        <f>IFERROR(INDEX('Prior Year Data Pull'!$A$2:$CB$593,MATCH(C62,'Prior Year Data Pull'!$A$2:$A$593,0),MATCH("Total Non Operating Revenue",'Prior Year Data Pull'!$A$1:$CB$1,0)),"")</f>
        <v>109306000</v>
      </c>
      <c r="AH62" s="38">
        <f>IFERROR(INDEX('Prior Year Data Pull'!$A$2:$CB$593,MATCH(C62,'Prior Year Data Pull'!$A$2:$A$593,0),MATCH("Less Accumulated Depreciation",'Prior Year Data Pull'!$A$1:$CB$1,0)),"")</f>
        <v>2464657000</v>
      </c>
      <c r="AI62" s="38">
        <f>IFERROR(INDEX('Prior Year Data Pull'!$A$2:$CB$593,MATCH(C62,'Prior Year Data Pull'!$A$2:$A$593,0),MATCH("Depreciation and Amortization Expense",'Prior Year Data Pull'!$A$1:$CB$1,0)),"")</f>
        <v>101452000</v>
      </c>
      <c r="AJ62" s="38">
        <f>IFERROR(INDEX('Prior Year Data Pull'!$A$2:$CB$593,MATCH(C62,'Prior Year Data Pull'!$A$2:$A$593,0),MATCH("Net Patient Accounts Receivable",'Prior Year Data Pull'!$A$1:$CB$1,0)),"")</f>
        <v>285884000</v>
      </c>
      <c r="AK62" s="14">
        <v>365</v>
      </c>
      <c r="AL62" s="38">
        <f>IFERROR(INDEX('Prior Year Data Pull'!$A$2:$CB$593,MATCH(C62,'Prior Year Data Pull'!$A$2:$A$593,0),MATCH("Estimated Third Party Settlements",'Prior Year Data Pull'!$A$1:$CB$1,0)),"")</f>
        <v>52000</v>
      </c>
      <c r="AM62" s="38">
        <f>IFERROR(INDEX('Prior Year Data Pull'!$A$2:$CB$593,MATCH(C62,'Prior Year Data Pull'!$A$2:$A$593,0),MATCH("Current Liabilities due to Affiliates",'Prior Year Data Pull'!$A$1:$CB$1,0)),"")</f>
        <v>0</v>
      </c>
      <c r="AN62" s="38">
        <f>IFERROR(INDEX('Prior Year Data Pull'!$A$2:$CB$593,MATCH(C62,'Prior Year Data Pull'!$A$2:$A$593,0),MATCH("Short Term Investments",'Prior Year Data Pull'!$A$1:$CB$1,0)),"")</f>
        <v>774209000</v>
      </c>
      <c r="AO62" s="38">
        <f>IFERROR(INDEX('Prior Year Data Pull'!$A$2:$CB$593,MATCH(C62,'Prior Year Data Pull'!$A$2:$A$593,0),MATCH("Cash and Cash Equivalents",'Prior Year Data Pull'!$A$1:$CB$1,0)),"")</f>
        <v>1283000</v>
      </c>
      <c r="AP62" s="38">
        <f>IFERROR(INDEX('Prior Year Data Pull'!$A$2:$CB$593,MATCH(C62,'Prior Year Data Pull'!$A$2:$A$593,0),MATCH("Interest Expense",'Prior Year Data Pull'!$A$1:$CB$1,0)),"")</f>
        <v>56424000</v>
      </c>
      <c r="AQ62" s="38">
        <f>IFERROR(INDEX('Prior Year Data Pull'!$A$2:$CB$593,MATCH(C62,'Prior Year Data Pull'!$A$2:$A$593,0),MATCH("Long Term Debt Net of Current Portion",'Prior Year Data Pull'!$A$1:$CB$1,0)),"")</f>
        <v>2044534000</v>
      </c>
      <c r="AR62" s="38">
        <f>IFERROR(INDEX('Prior Year Data Pull'!$A$2:$CB$593,MATCH(C62,'Prior Year Data Pull'!$A$2:$A$593,0),MATCH("Total Assets",'Prior Year Data Pull'!$A$1:$CB$1,0)),"")</f>
        <v>4782351000</v>
      </c>
      <c r="AS62" s="38">
        <f>IFERROR(INDEX('Prior Year Data Pull'!$A$2:$CB$593,MATCH(C62,'Prior Year Data Pull'!$A$2:$A$593,0),MATCH("Long Term Debt Net of Current Portion",'Prior Year Data Pull'!$A$1:$CB$1,0)),"")</f>
        <v>2044534000</v>
      </c>
      <c r="AT62" s="38">
        <f>IFERROR(INDEX('Prior Year Data Pull'!$A$2:$CB$593,MATCH(C62,'Prior Year Data Pull'!$A$2:$A$593,0),MATCH("Net Unrestricted Assets",'Prior Year Data Pull'!$A$1:$CB$1,0)),"")</f>
        <v>1404155000</v>
      </c>
      <c r="AU62" s="38">
        <f>IFERROR(INDEX('Prior Year Data Pull'!$A$2:$CB$593,MATCH(C62,'Prior Year Data Pull'!$A$2:$A$593,0),MATCH("Unrealized Gains/Losses",'Prior Year Data Pull'!$A$1:$CB$1,0)),"")</f>
        <v>88637000</v>
      </c>
      <c r="AV62" s="38">
        <f>IFERROR(INDEX('Prior Year Data Pull'!$A$2:$CB$593,MATCH(C62,'Prior Year Data Pull'!$A$2:$A$593,0),MATCH("Salary and Benefit Expense",'Prior Year Data Pull'!$A$1:$CB$1,0)),"")</f>
        <v>1127789000</v>
      </c>
    </row>
    <row r="63" spans="1:48" ht="34.200000000000003" x14ac:dyDescent="0.3">
      <c r="A63" s="46" t="str">
        <f>IFERROR(INDEX('Static Data Tab'!$N$2:$N$610,MATCH(D63,'Static Data Tab'!$D$2:$D$610,0)), "")</f>
        <v>Mass General Brigham</v>
      </c>
      <c r="B63" s="46" t="s">
        <v>158</v>
      </c>
      <c r="C63" s="46">
        <v>8745</v>
      </c>
      <c r="D63" s="46">
        <v>3791</v>
      </c>
      <c r="E63" s="46" t="str">
        <f>IFERROR(INDEX('Prior Year Data Pull'!$A$1:$CB$593,MATCH(C63,'Prior Year Data Pull'!$A$1:$A$593,0),MATCH("Organization Type",'Prior Year Data Pull'!$A$1:$CB$1,0)),"")</f>
        <v>PhysicianOrganization</v>
      </c>
      <c r="F63" s="46" t="str">
        <f>IFERROR(INDEX('Static Data Tab'!$E$2:$E$610,MATCH(C63,'Static Data Tab'!$B$2:$B$610,0)), "-")</f>
        <v>-</v>
      </c>
      <c r="G63" s="46" t="str">
        <f>IFERROR(INDEX('Static Data Tab'!$J$2:$J$610,MATCH(C63,'Static Data Tab'!$B$2:$B$610,0)), "")</f>
        <v/>
      </c>
      <c r="H63" s="46" t="str">
        <f>IFERROR(INDEX('Static Data Tab'!$F$2:$F$610,MATCH(C63,'Static Data Tab'!$B$2:$B$610,0)), "")</f>
        <v/>
      </c>
      <c r="I63" s="46" t="str">
        <f>IFERROR(INDEX('Static Data Tab'!$G$2:$G$610,MATCH(C63,'Static Data Tab'!$B$2:$B$610,0)), "")</f>
        <v/>
      </c>
      <c r="J63" s="46" t="str">
        <f>IFERROR(INDEX('Prior Year Data Pull'!$A$2:$CB$593,MATCH(C63,'Prior Year Data Pull'!$A$2:$A$593,0),MATCH("Quarter Range",'Prior Year Data Pull'!$A$1:$CB$1,0)),"")</f>
        <v xml:space="preserve">10/01/2024-09/30/2025
</v>
      </c>
      <c r="K63" s="45">
        <f t="shared" si="0"/>
        <v>-5.7207123973050576E-2</v>
      </c>
      <c r="L63" s="45">
        <f t="shared" si="1"/>
        <v>2.9696250390880405E-2</v>
      </c>
      <c r="M63" s="45">
        <f t="shared" si="2"/>
        <v>-2.7510873582170168E-2</v>
      </c>
      <c r="N63" s="47">
        <f t="shared" si="3"/>
        <v>-7742000</v>
      </c>
      <c r="O63" s="265" t="str">
        <f t="shared" si="4"/>
        <v/>
      </c>
      <c r="P63" s="47">
        <f>IFERROR(INDEX('Prior Year Data Pull'!$A$2:$CB$593,MATCH('Prior Year Data Table'!$C63,'Prior Year Data Pull'!$A$2:$A$593,0),MATCH("Total Net Assets or Equity",'Prior Year Data Pull'!$A$1:$CB$1,0)),"")</f>
        <v>0</v>
      </c>
      <c r="Q63" s="47">
        <f>IFERROR(INDEX('Prior Year Data Pull'!$A$2:$CB$593,MATCH('Prior Year Data Table'!$C63,'Prior Year Data Pull'!$A$2:$A$593,0),MATCH("Total Operating Revenue",'Prior Year Data Pull'!$A$1:$CB$1,0)),"")</f>
        <v>273059000</v>
      </c>
      <c r="R63" s="47">
        <f>IFERROR(INDEX('Prior Year Data Pull'!$A$2:$CB$593,MATCH('Prior Year Data Table'!$C63,'Prior Year Data Pull'!$A$2:$A$593,0),MATCH("Total Unrestricted Revenue Gains and Other Support",'Prior Year Data Pull'!$A$1:$CB$1,0)),"")</f>
        <v>281416000</v>
      </c>
      <c r="S63" s="47">
        <f>IFERROR(INDEX('Prior Year TS Data Pull'!$K$2:$K$607,MATCH(C63,'Prior Year TS Data Pull'!$A$2:$A$607,0))+INDEX('Prior Year TS Data Pull'!$O$2:$O$119,MATCH(C63,'Prior Year TS Data Pull'!$A$2:$A$607,0))+INDEX('Prior Year TS Data Pull'!$S$2:$S$119,MATCH(C63,'Prior Year TS Data Pull'!$A$2:$A$607,0)),"")</f>
        <v>57597.66</v>
      </c>
      <c r="T63" s="47">
        <f>IF(INDEX('Prior Year TS Data Pull'!$A$1:$O$607,MATCH(C63,'Prior Year TS Data Pull'!$A$1:$A$607,0),MATCH("Temporary RN Staffing:
Line Reported on in Standardized Financials",'Prior Year TS Data Pull'!$A$1:$O$1,0))="66.1: Salary and Benefit Expense",'Prior Year Data Table'!$AV63-'Prior Year Data Table'!$S63,0)</f>
        <v>0</v>
      </c>
      <c r="U63" s="47">
        <f>IFERROR(INDEX('Prior Year Data Pull'!$A$2:$CB$593,MATCH(C63,'Prior Year Data Pull'!$A$2:$A$593,0),MATCH("Total Expenses Including Nonrecurring Gains Losses",'Prior Year Data Pull'!$A$1:$CB$1,0)),"")</f>
        <v>289158000</v>
      </c>
      <c r="V63" s="266">
        <f t="shared" si="5"/>
        <v>0</v>
      </c>
      <c r="W63" s="266">
        <f t="shared" si="6"/>
        <v>0</v>
      </c>
      <c r="X63" s="266">
        <f t="shared" si="7"/>
        <v>0</v>
      </c>
      <c r="Y63" s="45" t="str">
        <f t="shared" si="8"/>
        <v/>
      </c>
      <c r="Z63" s="266">
        <f t="shared" si="9"/>
        <v>0</v>
      </c>
      <c r="AA63" s="265">
        <f t="shared" si="10"/>
        <v>-158.97777777777779</v>
      </c>
      <c r="AB63" s="45" t="str">
        <f t="shared" si="11"/>
        <v/>
      </c>
      <c r="AC63" s="45" t="str">
        <f t="shared" si="12"/>
        <v/>
      </c>
      <c r="AD63" s="47">
        <f>IFERROR(INDEX('Prior Year Data Pull'!$A$2:$CB$593,MATCH(C63,'Prior Year Data Pull'!$A$2:$A$593,0),MATCH("Net Patient Service Revenue",'Prior Year Data Pull'!$A$1:$CB$1,0)),"")</f>
        <v>206232000</v>
      </c>
      <c r="AE63" s="47">
        <f>IFERROR(INDEX('Prior Year Data Pull'!$A$2:$CB$593,MATCH(C63,'Prior Year Data Pull'!$A$2:$A$593,0),MATCH("Total Current Assets",'Prior Year Data Pull'!$A$1:$CB$1,0)),"")</f>
        <v>0</v>
      </c>
      <c r="AF63" s="47">
        <f>IFERROR(INDEX('Prior Year Data Pull'!$A$2:$CB$593,MATCH(C63,'Prior Year Data Pull'!$A$2:$A$593,0),MATCH("Total Current Liabilities",'Prior Year Data Pull'!$A$1:$CB$1,0)),"")</f>
        <v>0</v>
      </c>
      <c r="AG63" s="47">
        <f>IFERROR(INDEX('Prior Year Data Pull'!$A$2:$CB$593,MATCH(C63,'Prior Year Data Pull'!$A$2:$A$593,0),MATCH("Total Non Operating Revenue",'Prior Year Data Pull'!$A$1:$CB$1,0)),"")</f>
        <v>8357000</v>
      </c>
      <c r="AH63" s="47">
        <f>IFERROR(INDEX('Prior Year Data Pull'!$A$2:$CB$593,MATCH(C63,'Prior Year Data Pull'!$A$2:$A$593,0),MATCH("Less Accumulated Depreciation",'Prior Year Data Pull'!$A$1:$CB$1,0)),"")</f>
        <v>0</v>
      </c>
      <c r="AI63" s="47">
        <f>IFERROR(INDEX('Prior Year Data Pull'!$A$2:$CB$593,MATCH(C63,'Prior Year Data Pull'!$A$2:$A$593,0),MATCH("Depreciation and Amortization Expense",'Prior Year Data Pull'!$A$1:$CB$1,0)),"")</f>
        <v>1800000</v>
      </c>
      <c r="AJ63" s="47">
        <f>IFERROR(INDEX('Prior Year Data Pull'!$A$2:$CB$593,MATCH(C63,'Prior Year Data Pull'!$A$2:$A$593,0),MATCH("Net Patient Accounts Receivable",'Prior Year Data Pull'!$A$1:$CB$1,0)),"")</f>
        <v>0</v>
      </c>
      <c r="AK63" s="46">
        <v>365</v>
      </c>
      <c r="AL63" s="47">
        <f>IFERROR(INDEX('Prior Year Data Pull'!$A$2:$CB$593,MATCH(C63,'Prior Year Data Pull'!$A$2:$A$593,0),MATCH("Estimated Third Party Settlements",'Prior Year Data Pull'!$A$1:$CB$1,0)),"")</f>
        <v>0</v>
      </c>
      <c r="AM63" s="47">
        <f>IFERROR(INDEX('Prior Year Data Pull'!$A$2:$CB$593,MATCH(C63,'Prior Year Data Pull'!$A$2:$A$593,0),MATCH("Current Liabilities due to Affiliates",'Prior Year Data Pull'!$A$1:$CB$1,0)),"")</f>
        <v>0</v>
      </c>
      <c r="AN63" s="47">
        <f>IFERROR(INDEX('Prior Year Data Pull'!$A$2:$CB$593,MATCH(C63,'Prior Year Data Pull'!$A$2:$A$593,0),MATCH("Short Term Investments",'Prior Year Data Pull'!$A$1:$CB$1,0)),"")</f>
        <v>0</v>
      </c>
      <c r="AO63" s="47">
        <f>IFERROR(INDEX('Prior Year Data Pull'!$A$2:$CB$593,MATCH(C63,'Prior Year Data Pull'!$A$2:$A$593,0),MATCH("Cash and Cash Equivalents",'Prior Year Data Pull'!$A$1:$CB$1,0)),"")</f>
        <v>0</v>
      </c>
      <c r="AP63" s="47">
        <f>IFERROR(INDEX('Prior Year Data Pull'!$A$2:$CB$593,MATCH(C63,'Prior Year Data Pull'!$A$2:$A$593,0),MATCH("Interest Expense",'Prior Year Data Pull'!$A$1:$CB$1,0)),"")</f>
        <v>45000</v>
      </c>
      <c r="AQ63" s="47">
        <f>IFERROR(INDEX('Prior Year Data Pull'!$A$2:$CB$593,MATCH(C63,'Prior Year Data Pull'!$A$2:$A$593,0),MATCH("Long Term Debt Net of Current Portion",'Prior Year Data Pull'!$A$1:$CB$1,0)),"")</f>
        <v>0</v>
      </c>
      <c r="AR63" s="47">
        <f>IFERROR(INDEX('Prior Year Data Pull'!$A$2:$CB$593,MATCH(C63,'Prior Year Data Pull'!$A$2:$A$593,0),MATCH("Total Assets",'Prior Year Data Pull'!$A$1:$CB$1,0)),"")</f>
        <v>0</v>
      </c>
      <c r="AS63" s="47">
        <f>IFERROR(INDEX('Prior Year Data Pull'!$A$2:$CB$593,MATCH(C63,'Prior Year Data Pull'!$A$2:$A$593,0),MATCH("Long Term Debt Net of Current Portion",'Prior Year Data Pull'!$A$1:$CB$1,0)),"")</f>
        <v>0</v>
      </c>
      <c r="AT63" s="47">
        <f>IFERROR(INDEX('Prior Year Data Pull'!$A$2:$CB$593,MATCH(C63,'Prior Year Data Pull'!$A$2:$A$593,0),MATCH("Net Unrestricted Assets",'Prior Year Data Pull'!$A$1:$CB$1,0)),"")</f>
        <v>0</v>
      </c>
      <c r="AU63" s="47">
        <f>IFERROR(INDEX('Prior Year Data Pull'!$A$2:$CB$593,MATCH(C63,'Prior Year Data Pull'!$A$2:$A$593,0),MATCH("Unrealized Gains/Losses",'Prior Year Data Pull'!$A$1:$CB$1,0)),"")</f>
        <v>1257000</v>
      </c>
      <c r="AV63" s="47">
        <f>IFERROR(INDEX('Prior Year Data Pull'!$A$2:$CB$593,MATCH(C63,'Prior Year Data Pull'!$A$2:$A$593,0),MATCH("Salary and Benefit Expense",'Prior Year Data Pull'!$A$1:$CB$1,0)),"")</f>
        <v>120061000</v>
      </c>
    </row>
    <row r="64" spans="1:48" ht="34.200000000000003" x14ac:dyDescent="0.3">
      <c r="A64" s="14" t="str">
        <f>IFERROR(INDEX('Static Data Tab'!$N$2:$N$610,MATCH(D64,'Static Data Tab'!$D$2:$D$610,0)), "")</f>
        <v>UMass Memorial Health Care</v>
      </c>
      <c r="B64" s="14" t="s">
        <v>161</v>
      </c>
      <c r="C64" s="14">
        <v>8750</v>
      </c>
      <c r="D64" s="14">
        <v>6755</v>
      </c>
      <c r="E64" s="14" t="str">
        <f>IFERROR(INDEX('Prior Year Data Pull'!$A$1:$CB$593,MATCH(C64,'Prior Year Data Pull'!$A$1:$A$593,0),MATCH("Organization Type",'Prior Year Data Pull'!$A$1:$CB$1,0)),"")</f>
        <v>PhysicianOrganization</v>
      </c>
      <c r="F64" s="14" t="str">
        <f>IFERROR(INDEX('Static Data Tab'!$E$2:$E$610,MATCH(C64,'Static Data Tab'!$B$2:$B$610,0)), "-")</f>
        <v>-</v>
      </c>
      <c r="G64" s="14" t="str">
        <f>IFERROR(INDEX('Static Data Tab'!$J$2:$J$610,MATCH(C64,'Static Data Tab'!$B$2:$B$610,0)), "")</f>
        <v/>
      </c>
      <c r="H64" s="14" t="str">
        <f>IFERROR(INDEX('Static Data Tab'!$F$2:$F$610,MATCH(C64,'Static Data Tab'!$B$2:$B$610,0)), "")</f>
        <v/>
      </c>
      <c r="I64" s="14" t="str">
        <f>IFERROR(INDEX('Static Data Tab'!$G$2:$G$610,MATCH(C64,'Static Data Tab'!$B$2:$B$610,0)), "")</f>
        <v/>
      </c>
      <c r="J64" s="14" t="str">
        <f>IFERROR(INDEX('Prior Year Data Pull'!$A$2:$CB$593,MATCH(C64,'Prior Year Data Pull'!$A$2:$A$593,0),MATCH("Quarter Range",'Prior Year Data Pull'!$A$1:$CB$1,0)),"")</f>
        <v xml:space="preserve">10/01/2024-09/30/2025
</v>
      </c>
      <c r="K64" s="37">
        <f t="shared" si="0"/>
        <v>-7.7354250862189597E-2</v>
      </c>
      <c r="L64" s="37">
        <f t="shared" si="1"/>
        <v>0</v>
      </c>
      <c r="M64" s="37">
        <f t="shared" si="2"/>
        <v>-7.7354250862189597E-2</v>
      </c>
      <c r="N64" s="38">
        <f t="shared" si="3"/>
        <v>-9398000</v>
      </c>
      <c r="O64" s="39" t="str">
        <f t="shared" si="4"/>
        <v/>
      </c>
      <c r="P64" s="38">
        <f>IFERROR(INDEX('Prior Year Data Pull'!$A$2:$CB$593,MATCH('Prior Year Data Table'!$C64,'Prior Year Data Pull'!$A$2:$A$593,0),MATCH("Total Net Assets or Equity",'Prior Year Data Pull'!$A$1:$CB$1,0)),"")</f>
        <v>0</v>
      </c>
      <c r="Q64" s="38">
        <f>IFERROR(INDEX('Prior Year Data Pull'!$A$2:$CB$593,MATCH('Prior Year Data Table'!$C64,'Prior Year Data Pull'!$A$2:$A$593,0),MATCH("Total Operating Revenue",'Prior Year Data Pull'!$A$1:$CB$1,0)),"")</f>
        <v>121493000</v>
      </c>
      <c r="R64" s="38">
        <f>IFERROR(INDEX('Prior Year Data Pull'!$A$2:$CB$593,MATCH('Prior Year Data Table'!$C64,'Prior Year Data Pull'!$A$2:$A$593,0),MATCH("Total Unrestricted Revenue Gains and Other Support",'Prior Year Data Pull'!$A$1:$CB$1,0)),"")</f>
        <v>121493000</v>
      </c>
      <c r="S64" s="38" t="str">
        <f>IFERROR(INDEX('Prior Year TS Data Pull'!$K$2:$K$607,MATCH(C64,'Prior Year TS Data Pull'!$A$2:$A$607,0))+INDEX('Prior Year TS Data Pull'!$O$2:$O$119,MATCH(C64,'Prior Year TS Data Pull'!$A$2:$A$607,0))+INDEX('Prior Year TS Data Pull'!$S$2:$S$119,MATCH(C64,'Prior Year TS Data Pull'!$A$2:$A$607,0)),"")</f>
        <v/>
      </c>
      <c r="T64" s="38" t="e">
        <f>IF(INDEX('Prior Year TS Data Pull'!$A$1:$O$607,MATCH(C64,'Prior Year TS Data Pull'!$A$1:$A$607,0),MATCH("Temporary RN Staffing:
Line Reported on in Standardized Financials",'Prior Year TS Data Pull'!$A$1:$O$1,0))="66.1: Salary and Benefit Expense",'Prior Year Data Table'!$AV64-'Prior Year Data Table'!$S64,0)</f>
        <v>#N/A</v>
      </c>
      <c r="U64" s="38">
        <f>IFERROR(INDEX('Prior Year Data Pull'!$A$2:$CB$593,MATCH(C64,'Prior Year Data Pull'!$A$2:$A$593,0),MATCH("Total Expenses Including Nonrecurring Gains Losses",'Prior Year Data Pull'!$A$1:$CB$1,0)),"")</f>
        <v>130891000</v>
      </c>
      <c r="V64" s="41">
        <f t="shared" si="5"/>
        <v>0</v>
      </c>
      <c r="W64" s="41">
        <f t="shared" si="6"/>
        <v>0</v>
      </c>
      <c r="X64" s="41">
        <f t="shared" si="7"/>
        <v>0</v>
      </c>
      <c r="Y64" s="37" t="str">
        <f t="shared" si="8"/>
        <v/>
      </c>
      <c r="Z64" s="41">
        <f t="shared" si="9"/>
        <v>0</v>
      </c>
      <c r="AA64" s="39">
        <f t="shared" si="10"/>
        <v>-14.363636363636363</v>
      </c>
      <c r="AB64" s="37" t="str">
        <f t="shared" si="11"/>
        <v/>
      </c>
      <c r="AC64" s="37" t="str">
        <f t="shared" si="12"/>
        <v/>
      </c>
      <c r="AD64" s="38">
        <f>IFERROR(INDEX('Prior Year Data Pull'!$A$2:$CB$593,MATCH(C64,'Prior Year Data Pull'!$A$2:$A$593,0),MATCH("Net Patient Service Revenue",'Prior Year Data Pull'!$A$1:$CB$1,0)),"")</f>
        <v>103059000</v>
      </c>
      <c r="AE64" s="38">
        <f>IFERROR(INDEX('Prior Year Data Pull'!$A$2:$CB$593,MATCH(C64,'Prior Year Data Pull'!$A$2:$A$593,0),MATCH("Total Current Assets",'Prior Year Data Pull'!$A$1:$CB$1,0)),"")</f>
        <v>0</v>
      </c>
      <c r="AF64" s="38">
        <f>IFERROR(INDEX('Prior Year Data Pull'!$A$2:$CB$593,MATCH(C64,'Prior Year Data Pull'!$A$2:$A$593,0),MATCH("Total Current Liabilities",'Prior Year Data Pull'!$A$1:$CB$1,0)),"")</f>
        <v>0</v>
      </c>
      <c r="AG64" s="38">
        <f>IFERROR(INDEX('Prior Year Data Pull'!$A$2:$CB$593,MATCH(C64,'Prior Year Data Pull'!$A$2:$A$593,0),MATCH("Total Non Operating Revenue",'Prior Year Data Pull'!$A$1:$CB$1,0)),"")</f>
        <v>0</v>
      </c>
      <c r="AH64" s="38">
        <f>IFERROR(INDEX('Prior Year Data Pull'!$A$2:$CB$593,MATCH(C64,'Prior Year Data Pull'!$A$2:$A$593,0),MATCH("Less Accumulated Depreciation",'Prior Year Data Pull'!$A$1:$CB$1,0)),"")</f>
        <v>0</v>
      </c>
      <c r="AI64" s="38">
        <f>IFERROR(INDEX('Prior Year Data Pull'!$A$2:$CB$593,MATCH(C64,'Prior Year Data Pull'!$A$2:$A$593,0),MATCH("Depreciation and Amortization Expense",'Prior Year Data Pull'!$A$1:$CB$1,0)),"")</f>
        <v>948000</v>
      </c>
      <c r="AJ64" s="38">
        <f>IFERROR(INDEX('Prior Year Data Pull'!$A$2:$CB$593,MATCH(C64,'Prior Year Data Pull'!$A$2:$A$593,0),MATCH("Net Patient Accounts Receivable",'Prior Year Data Pull'!$A$1:$CB$1,0)),"")</f>
        <v>0</v>
      </c>
      <c r="AK64" s="14">
        <v>365</v>
      </c>
      <c r="AL64" s="38">
        <f>IFERROR(INDEX('Prior Year Data Pull'!$A$2:$CB$593,MATCH(C64,'Prior Year Data Pull'!$A$2:$A$593,0),MATCH("Estimated Third Party Settlements",'Prior Year Data Pull'!$A$1:$CB$1,0)),"")</f>
        <v>0</v>
      </c>
      <c r="AM64" s="38">
        <f>IFERROR(INDEX('Prior Year Data Pull'!$A$2:$CB$593,MATCH(C64,'Prior Year Data Pull'!$A$2:$A$593,0),MATCH("Current Liabilities due to Affiliates",'Prior Year Data Pull'!$A$1:$CB$1,0)),"")</f>
        <v>0</v>
      </c>
      <c r="AN64" s="38">
        <f>IFERROR(INDEX('Prior Year Data Pull'!$A$2:$CB$593,MATCH(C64,'Prior Year Data Pull'!$A$2:$A$593,0),MATCH("Short Term Investments",'Prior Year Data Pull'!$A$1:$CB$1,0)),"")</f>
        <v>0</v>
      </c>
      <c r="AO64" s="38">
        <f>IFERROR(INDEX('Prior Year Data Pull'!$A$2:$CB$593,MATCH(C64,'Prior Year Data Pull'!$A$2:$A$593,0),MATCH("Cash and Cash Equivalents",'Prior Year Data Pull'!$A$1:$CB$1,0)),"")</f>
        <v>0</v>
      </c>
      <c r="AP64" s="38">
        <f>IFERROR(INDEX('Prior Year Data Pull'!$A$2:$CB$593,MATCH(C64,'Prior Year Data Pull'!$A$2:$A$593,0),MATCH("Interest Expense",'Prior Year Data Pull'!$A$1:$CB$1,0)),"")</f>
        <v>550000</v>
      </c>
      <c r="AQ64" s="38">
        <f>IFERROR(INDEX('Prior Year Data Pull'!$A$2:$CB$593,MATCH(C64,'Prior Year Data Pull'!$A$2:$A$593,0),MATCH("Long Term Debt Net of Current Portion",'Prior Year Data Pull'!$A$1:$CB$1,0)),"")</f>
        <v>0</v>
      </c>
      <c r="AR64" s="38">
        <f>IFERROR(INDEX('Prior Year Data Pull'!$A$2:$CB$593,MATCH(C64,'Prior Year Data Pull'!$A$2:$A$593,0),MATCH("Total Assets",'Prior Year Data Pull'!$A$1:$CB$1,0)),"")</f>
        <v>0</v>
      </c>
      <c r="AS64" s="38">
        <f>IFERROR(INDEX('Prior Year Data Pull'!$A$2:$CB$593,MATCH(C64,'Prior Year Data Pull'!$A$2:$A$593,0),MATCH("Long Term Debt Net of Current Portion",'Prior Year Data Pull'!$A$1:$CB$1,0)),"")</f>
        <v>0</v>
      </c>
      <c r="AT64" s="38">
        <f>IFERROR(INDEX('Prior Year Data Pull'!$A$2:$CB$593,MATCH(C64,'Prior Year Data Pull'!$A$2:$A$593,0),MATCH("Net Unrestricted Assets",'Prior Year Data Pull'!$A$1:$CB$1,0)),"")</f>
        <v>0</v>
      </c>
      <c r="AU64" s="38">
        <f>IFERROR(INDEX('Prior Year Data Pull'!$A$2:$CB$593,MATCH(C64,'Prior Year Data Pull'!$A$2:$A$593,0),MATCH("Unrealized Gains/Losses",'Prior Year Data Pull'!$A$1:$CB$1,0)),"")</f>
        <v>0</v>
      </c>
      <c r="AV64" s="38">
        <f>IFERROR(INDEX('Prior Year Data Pull'!$A$2:$CB$593,MATCH(C64,'Prior Year Data Pull'!$A$2:$A$593,0),MATCH("Salary and Benefit Expense",'Prior Year Data Pull'!$A$1:$CB$1,0)),"")</f>
        <v>94259000</v>
      </c>
    </row>
    <row r="65" spans="1:48" ht="34.200000000000003" x14ac:dyDescent="0.3">
      <c r="A65" s="46" t="str">
        <f>IFERROR(INDEX('Static Data Tab'!$N$2:$N$610,MATCH(D65,'Static Data Tab'!$D$2:$D$610,0)), "")</f>
        <v>Mass General Brigham</v>
      </c>
      <c r="B65" s="46" t="s">
        <v>152</v>
      </c>
      <c r="C65" s="46">
        <v>9323</v>
      </c>
      <c r="D65" s="46">
        <v>3791</v>
      </c>
      <c r="E65" s="46" t="str">
        <f>IFERROR(INDEX('Prior Year Data Pull'!$A$1:$CB$593,MATCH(C65,'Prior Year Data Pull'!$A$1:$A$593,0),MATCH("Organization Type",'Prior Year Data Pull'!$A$1:$CB$1,0)),"")</f>
        <v>PhysicianOrganization</v>
      </c>
      <c r="F65" s="46" t="str">
        <f>IFERROR(INDEX('Static Data Tab'!$E$2:$E$610,MATCH(C65,'Static Data Tab'!$B$2:$B$610,0)), "-")</f>
        <v>-</v>
      </c>
      <c r="G65" s="46" t="str">
        <f>IFERROR(INDEX('Static Data Tab'!$J$2:$J$610,MATCH(C65,'Static Data Tab'!$B$2:$B$610,0)), "")</f>
        <v/>
      </c>
      <c r="H65" s="46" t="str">
        <f>IFERROR(INDEX('Static Data Tab'!$F$2:$F$610,MATCH(C65,'Static Data Tab'!$B$2:$B$610,0)), "")</f>
        <v/>
      </c>
      <c r="I65" s="46" t="str">
        <f>IFERROR(INDEX('Static Data Tab'!$G$2:$G$610,MATCH(C65,'Static Data Tab'!$B$2:$B$610,0)), "")</f>
        <v/>
      </c>
      <c r="J65" s="46" t="str">
        <f>IFERROR(INDEX('Prior Year Data Pull'!$A$2:$CB$593,MATCH(C65,'Prior Year Data Pull'!$A$2:$A$593,0),MATCH("Quarter Range",'Prior Year Data Pull'!$A$1:$CB$1,0)),"")</f>
        <v xml:space="preserve">10/01/2024-09/30/2025
</v>
      </c>
      <c r="K65" s="45">
        <f t="shared" si="0"/>
        <v>-0.279873546134428</v>
      </c>
      <c r="L65" s="45">
        <f t="shared" si="1"/>
        <v>0</v>
      </c>
      <c r="M65" s="45">
        <f t="shared" si="2"/>
        <v>-0.279873546134428</v>
      </c>
      <c r="N65" s="47">
        <f t="shared" si="3"/>
        <v>-23726000</v>
      </c>
      <c r="O65" s="265" t="str">
        <f t="shared" si="4"/>
        <v/>
      </c>
      <c r="P65" s="47">
        <f>IFERROR(INDEX('Prior Year Data Pull'!$A$2:$CB$593,MATCH('Prior Year Data Table'!$C65,'Prior Year Data Pull'!$A$2:$A$593,0),MATCH("Total Net Assets or Equity",'Prior Year Data Pull'!$A$1:$CB$1,0)),"")</f>
        <v>0</v>
      </c>
      <c r="Q65" s="47">
        <f>IFERROR(INDEX('Prior Year Data Pull'!$A$2:$CB$593,MATCH('Prior Year Data Table'!$C65,'Prior Year Data Pull'!$A$2:$A$593,0),MATCH("Total Operating Revenue",'Prior Year Data Pull'!$A$1:$CB$1,0)),"")</f>
        <v>84774000</v>
      </c>
      <c r="R65" s="47">
        <f>IFERROR(INDEX('Prior Year Data Pull'!$A$2:$CB$593,MATCH('Prior Year Data Table'!$C65,'Prior Year Data Pull'!$A$2:$A$593,0),MATCH("Total Unrestricted Revenue Gains and Other Support",'Prior Year Data Pull'!$A$1:$CB$1,0)),"")</f>
        <v>84774000</v>
      </c>
      <c r="S65" s="47">
        <f>IFERROR(INDEX('Prior Year TS Data Pull'!$K$2:$K$607,MATCH(C65,'Prior Year TS Data Pull'!$A$2:$A$607,0))+INDEX('Prior Year TS Data Pull'!$O$2:$O$119,MATCH(C65,'Prior Year TS Data Pull'!$A$2:$A$607,0))+INDEX('Prior Year TS Data Pull'!$S$2:$S$119,MATCH(C65,'Prior Year TS Data Pull'!$A$2:$A$607,0)),"")</f>
        <v>212511</v>
      </c>
      <c r="T65" s="47">
        <f>IF(INDEX('Prior Year TS Data Pull'!$A$1:$O$607,MATCH(C65,'Prior Year TS Data Pull'!$A$1:$A$607,0),MATCH("Temporary RN Staffing:
Line Reported on in Standardized Financials",'Prior Year TS Data Pull'!$A$1:$O$1,0))="66.1: Salary and Benefit Expense",'Prior Year Data Table'!$AV65-'Prior Year Data Table'!$S65,0)</f>
        <v>0</v>
      </c>
      <c r="U65" s="47">
        <f>IFERROR(INDEX('Prior Year Data Pull'!$A$2:$CB$593,MATCH(C65,'Prior Year Data Pull'!$A$2:$A$593,0),MATCH("Total Expenses Including Nonrecurring Gains Losses",'Prior Year Data Pull'!$A$1:$CB$1,0)),"")</f>
        <v>108500000</v>
      </c>
      <c r="V65" s="266">
        <f t="shared" si="5"/>
        <v>0</v>
      </c>
      <c r="W65" s="266">
        <f t="shared" si="6"/>
        <v>0</v>
      </c>
      <c r="X65" s="266">
        <f t="shared" si="7"/>
        <v>0</v>
      </c>
      <c r="Y65" s="45" t="str">
        <f t="shared" si="8"/>
        <v/>
      </c>
      <c r="Z65" s="266">
        <f t="shared" si="9"/>
        <v>0</v>
      </c>
      <c r="AA65" s="265" t="str">
        <f t="shared" si="10"/>
        <v/>
      </c>
      <c r="AB65" s="45" t="str">
        <f t="shared" si="11"/>
        <v/>
      </c>
      <c r="AC65" s="45" t="str">
        <f t="shared" si="12"/>
        <v/>
      </c>
      <c r="AD65" s="47">
        <f>IFERROR(INDEX('Prior Year Data Pull'!$A$2:$CB$593,MATCH(C65,'Prior Year Data Pull'!$A$2:$A$593,0),MATCH("Net Patient Service Revenue",'Prior Year Data Pull'!$A$1:$CB$1,0)),"")</f>
        <v>66168000</v>
      </c>
      <c r="AE65" s="47">
        <f>IFERROR(INDEX('Prior Year Data Pull'!$A$2:$CB$593,MATCH(C65,'Prior Year Data Pull'!$A$2:$A$593,0),MATCH("Total Current Assets",'Prior Year Data Pull'!$A$1:$CB$1,0)),"")</f>
        <v>0</v>
      </c>
      <c r="AF65" s="47">
        <f>IFERROR(INDEX('Prior Year Data Pull'!$A$2:$CB$593,MATCH(C65,'Prior Year Data Pull'!$A$2:$A$593,0),MATCH("Total Current Liabilities",'Prior Year Data Pull'!$A$1:$CB$1,0)),"")</f>
        <v>0</v>
      </c>
      <c r="AG65" s="47">
        <f>IFERROR(INDEX('Prior Year Data Pull'!$A$2:$CB$593,MATCH(C65,'Prior Year Data Pull'!$A$2:$A$593,0),MATCH("Total Non Operating Revenue",'Prior Year Data Pull'!$A$1:$CB$1,0)),"")</f>
        <v>0</v>
      </c>
      <c r="AH65" s="47">
        <f>IFERROR(INDEX('Prior Year Data Pull'!$A$2:$CB$593,MATCH(C65,'Prior Year Data Pull'!$A$2:$A$593,0),MATCH("Less Accumulated Depreciation",'Prior Year Data Pull'!$A$1:$CB$1,0)),"")</f>
        <v>0</v>
      </c>
      <c r="AI65" s="47">
        <f>IFERROR(INDEX('Prior Year Data Pull'!$A$2:$CB$593,MATCH(C65,'Prior Year Data Pull'!$A$2:$A$593,0),MATCH("Depreciation and Amortization Expense",'Prior Year Data Pull'!$A$1:$CB$1,0)),"")</f>
        <v>188000</v>
      </c>
      <c r="AJ65" s="47">
        <f>IFERROR(INDEX('Prior Year Data Pull'!$A$2:$CB$593,MATCH(C65,'Prior Year Data Pull'!$A$2:$A$593,0),MATCH("Net Patient Accounts Receivable",'Prior Year Data Pull'!$A$1:$CB$1,0)),"")</f>
        <v>0</v>
      </c>
      <c r="AK65" s="46">
        <v>365</v>
      </c>
      <c r="AL65" s="47">
        <f>IFERROR(INDEX('Prior Year Data Pull'!$A$2:$CB$593,MATCH(C65,'Prior Year Data Pull'!$A$2:$A$593,0),MATCH("Estimated Third Party Settlements",'Prior Year Data Pull'!$A$1:$CB$1,0)),"")</f>
        <v>0</v>
      </c>
      <c r="AM65" s="47">
        <f>IFERROR(INDEX('Prior Year Data Pull'!$A$2:$CB$593,MATCH(C65,'Prior Year Data Pull'!$A$2:$A$593,0),MATCH("Current Liabilities due to Affiliates",'Prior Year Data Pull'!$A$1:$CB$1,0)),"")</f>
        <v>0</v>
      </c>
      <c r="AN65" s="47">
        <f>IFERROR(INDEX('Prior Year Data Pull'!$A$2:$CB$593,MATCH(C65,'Prior Year Data Pull'!$A$2:$A$593,0),MATCH("Short Term Investments",'Prior Year Data Pull'!$A$1:$CB$1,0)),"")</f>
        <v>0</v>
      </c>
      <c r="AO65" s="47">
        <f>IFERROR(INDEX('Prior Year Data Pull'!$A$2:$CB$593,MATCH(C65,'Prior Year Data Pull'!$A$2:$A$593,0),MATCH("Cash and Cash Equivalents",'Prior Year Data Pull'!$A$1:$CB$1,0)),"")</f>
        <v>0</v>
      </c>
      <c r="AP65" s="47">
        <f>IFERROR(INDEX('Prior Year Data Pull'!$A$2:$CB$593,MATCH(C65,'Prior Year Data Pull'!$A$2:$A$593,0),MATCH("Interest Expense",'Prior Year Data Pull'!$A$1:$CB$1,0)),"")</f>
        <v>0</v>
      </c>
      <c r="AQ65" s="47">
        <f>IFERROR(INDEX('Prior Year Data Pull'!$A$2:$CB$593,MATCH(C65,'Prior Year Data Pull'!$A$2:$A$593,0),MATCH("Long Term Debt Net of Current Portion",'Prior Year Data Pull'!$A$1:$CB$1,0)),"")</f>
        <v>0</v>
      </c>
      <c r="AR65" s="47">
        <f>IFERROR(INDEX('Prior Year Data Pull'!$A$2:$CB$593,MATCH(C65,'Prior Year Data Pull'!$A$2:$A$593,0),MATCH("Total Assets",'Prior Year Data Pull'!$A$1:$CB$1,0)),"")</f>
        <v>0</v>
      </c>
      <c r="AS65" s="47">
        <f>IFERROR(INDEX('Prior Year Data Pull'!$A$2:$CB$593,MATCH(C65,'Prior Year Data Pull'!$A$2:$A$593,0),MATCH("Long Term Debt Net of Current Portion",'Prior Year Data Pull'!$A$1:$CB$1,0)),"")</f>
        <v>0</v>
      </c>
      <c r="AT65" s="47">
        <f>IFERROR(INDEX('Prior Year Data Pull'!$A$2:$CB$593,MATCH(C65,'Prior Year Data Pull'!$A$2:$A$593,0),MATCH("Net Unrestricted Assets",'Prior Year Data Pull'!$A$1:$CB$1,0)),"")</f>
        <v>0</v>
      </c>
      <c r="AU65" s="47">
        <f>IFERROR(INDEX('Prior Year Data Pull'!$A$2:$CB$593,MATCH(C65,'Prior Year Data Pull'!$A$2:$A$593,0),MATCH("Unrealized Gains/Losses",'Prior Year Data Pull'!$A$1:$CB$1,0)),"")</f>
        <v>0</v>
      </c>
      <c r="AV65" s="47">
        <f>IFERROR(INDEX('Prior Year Data Pull'!$A$2:$CB$593,MATCH(C65,'Prior Year Data Pull'!$A$2:$A$593,0),MATCH("Salary and Benefit Expense",'Prior Year Data Pull'!$A$1:$CB$1,0)),"")</f>
        <v>81180000</v>
      </c>
    </row>
    <row r="66" spans="1:48" ht="34.200000000000003" x14ac:dyDescent="0.3">
      <c r="A66" s="14" t="str">
        <f>IFERROR(INDEX('Static Data Tab'!$N$2:$N$610,MATCH(D66,'Static Data Tab'!$D$2:$D$610,0)), "")</f>
        <v>UMass Memorial Health Care</v>
      </c>
      <c r="B66" s="14" t="s">
        <v>202</v>
      </c>
      <c r="C66" s="14">
        <v>9784</v>
      </c>
      <c r="D66" s="14">
        <v>6755</v>
      </c>
      <c r="E66" s="14" t="str">
        <f>IFERROR(INDEX('Prior Year Data Pull'!$A$1:$CB$593,MATCH(C66,'Prior Year Data Pull'!$A$1:$A$593,0),MATCH("Organization Type",'Prior Year Data Pull'!$A$1:$CB$1,0)),"")</f>
        <v>PhysicianOrganization</v>
      </c>
      <c r="F66" s="14" t="str">
        <f>IFERROR(INDEX('Static Data Tab'!$E$2:$E$610,MATCH(C66,'Static Data Tab'!$B$2:$B$610,0)), "-")</f>
        <v>-</v>
      </c>
      <c r="G66" s="14" t="str">
        <f>IFERROR(INDEX('Static Data Tab'!$J$2:$J$610,MATCH(C66,'Static Data Tab'!$B$2:$B$610,0)), "")</f>
        <v/>
      </c>
      <c r="H66" s="14" t="str">
        <f>IFERROR(INDEX('Static Data Tab'!$F$2:$F$610,MATCH(C66,'Static Data Tab'!$B$2:$B$610,0)), "")</f>
        <v/>
      </c>
      <c r="I66" s="14" t="str">
        <f>IFERROR(INDEX('Static Data Tab'!$G$2:$G$610,MATCH(C66,'Static Data Tab'!$B$2:$B$610,0)), "")</f>
        <v/>
      </c>
      <c r="J66" s="14" t="str">
        <f>IFERROR(INDEX('Prior Year Data Pull'!$A$2:$CB$593,MATCH(C66,'Prior Year Data Pull'!$A$2:$A$593,0),MATCH("Quarter Range",'Prior Year Data Pull'!$A$1:$CB$1,0)),"")</f>
        <v xml:space="preserve">10/01/2024-09/30/2025
</v>
      </c>
      <c r="K66" s="37">
        <f t="shared" ref="K66:K118" si="13">IFERROR(($Q66-$U66)/$R66, "")</f>
        <v>-4.3827603899435609E-2</v>
      </c>
      <c r="L66" s="37">
        <f t="shared" ref="L66:L118" si="14">IFERROR($AG66/$R66, "")</f>
        <v>7.3792828231001653E-3</v>
      </c>
      <c r="M66" s="37">
        <f t="shared" ref="M66:M118" si="15">IFERROR(($R66-$U66)/$R66, "")</f>
        <v>-3.6448321076335444E-2</v>
      </c>
      <c r="N66" s="38">
        <f t="shared" ref="N66:N118" si="16">IFERROR($R66-$U66, "")</f>
        <v>-31967000</v>
      </c>
      <c r="O66" s="39" t="str">
        <f t="shared" ref="O66:O118" si="17">IFERROR($AE66/$AF66, "")</f>
        <v/>
      </c>
      <c r="P66" s="38">
        <f>IFERROR(INDEX('Prior Year Data Pull'!$A$2:$CB$593,MATCH('Prior Year Data Table'!$C66,'Prior Year Data Pull'!$A$2:$A$593,0),MATCH("Total Net Assets or Equity",'Prior Year Data Pull'!$A$1:$CB$1,0)),"")</f>
        <v>0</v>
      </c>
      <c r="Q66" s="38">
        <f>IFERROR(INDEX('Prior Year Data Pull'!$A$2:$CB$593,MATCH('Prior Year Data Table'!$C66,'Prior Year Data Pull'!$A$2:$A$593,0),MATCH("Total Operating Revenue",'Prior Year Data Pull'!$A$1:$CB$1,0)),"")</f>
        <v>870578000</v>
      </c>
      <c r="R66" s="38">
        <f>IFERROR(INDEX('Prior Year Data Pull'!$A$2:$CB$593,MATCH('Prior Year Data Table'!$C66,'Prior Year Data Pull'!$A$2:$A$593,0),MATCH("Total Unrestricted Revenue Gains and Other Support",'Prior Year Data Pull'!$A$1:$CB$1,0)),"")</f>
        <v>877050000</v>
      </c>
      <c r="S66" s="38">
        <f>IFERROR(INDEX('Prior Year TS Data Pull'!$K$2:$K$607,MATCH(C66,'Prior Year TS Data Pull'!$A$2:$A$607,0))+INDEX('Prior Year TS Data Pull'!$O$2:$O$119,MATCH(C66,'Prior Year TS Data Pull'!$A$2:$A$607,0))+INDEX('Prior Year TS Data Pull'!$S$2:$S$119,MATCH(C66,'Prior Year TS Data Pull'!$A$2:$A$607,0)),"")</f>
        <v>399588.74</v>
      </c>
      <c r="T66" s="38">
        <f>IF(INDEX('Prior Year TS Data Pull'!$A$1:$O$607,MATCH(C66,'Prior Year TS Data Pull'!$A$1:$A$607,0),MATCH("Temporary RN Staffing:
Line Reported on in Standardized Financials",'Prior Year TS Data Pull'!$A$1:$O$1,0))="66.1: Salary and Benefit Expense",'Prior Year Data Table'!$AV66-'Prior Year Data Table'!$S66,0)</f>
        <v>0</v>
      </c>
      <c r="U66" s="38">
        <f>IFERROR(INDEX('Prior Year Data Pull'!$A$2:$CB$593,MATCH(C66,'Prior Year Data Pull'!$A$2:$A$593,0),MATCH("Total Expenses Including Nonrecurring Gains Losses",'Prior Year Data Pull'!$A$1:$CB$1,0)),"")</f>
        <v>909017000</v>
      </c>
      <c r="V66" s="41">
        <f t="shared" ref="V66:V118" si="18">IFERROR($AH66/$AI66, "")</f>
        <v>0</v>
      </c>
      <c r="W66" s="41">
        <f t="shared" ref="W66:W118" si="19">IFERROR($AJ66/($AD66/$AK66), "")</f>
        <v>0</v>
      </c>
      <c r="X66" s="41">
        <f t="shared" ref="X66:X118" si="20">IFERROR(($AF66-$AL66)/(($U66-$AI66)/$AK66), "")</f>
        <v>0</v>
      </c>
      <c r="Y66" s="37" t="str">
        <f t="shared" ref="Y66:Y118" si="21">IFERROR((($N66+$AI66-$AU66)/($AM66+$AS66)), "")</f>
        <v/>
      </c>
      <c r="Z66" s="41">
        <f t="shared" ref="Z66:Z118" si="22">IFERROR(($AO66+$AN66)/(($U66-$AI66)/$AK66), "")</f>
        <v>0</v>
      </c>
      <c r="AA66" s="39" t="str">
        <f t="shared" ref="AA66:AA118" si="23">IFERROR(($N66+$AP66+$AI66-$AU66)/($AP66+$AQ66), "")</f>
        <v/>
      </c>
      <c r="AB66" s="37" t="str">
        <f t="shared" ref="AB66:AB118" si="24">IFERROR($P66/$AR66, "")</f>
        <v/>
      </c>
      <c r="AC66" s="37" t="str">
        <f t="shared" ref="AC66:AC118" si="25">IFERROR($AS66/($AS66+$AT66), "")</f>
        <v/>
      </c>
      <c r="AD66" s="38">
        <f>IFERROR(INDEX('Prior Year Data Pull'!$A$2:$CB$593,MATCH(C66,'Prior Year Data Pull'!$A$2:$A$593,0),MATCH("Net Patient Service Revenue",'Prior Year Data Pull'!$A$1:$CB$1,0)),"")</f>
        <v>590714000</v>
      </c>
      <c r="AE66" s="38">
        <f>IFERROR(INDEX('Prior Year Data Pull'!$A$2:$CB$593,MATCH(C66,'Prior Year Data Pull'!$A$2:$A$593,0),MATCH("Total Current Assets",'Prior Year Data Pull'!$A$1:$CB$1,0)),"")</f>
        <v>0</v>
      </c>
      <c r="AF66" s="38">
        <f>IFERROR(INDEX('Prior Year Data Pull'!$A$2:$CB$593,MATCH(C66,'Prior Year Data Pull'!$A$2:$A$593,0),MATCH("Total Current Liabilities",'Prior Year Data Pull'!$A$1:$CB$1,0)),"")</f>
        <v>0</v>
      </c>
      <c r="AG66" s="38">
        <f>IFERROR(INDEX('Prior Year Data Pull'!$A$2:$CB$593,MATCH(C66,'Prior Year Data Pull'!$A$2:$A$593,0),MATCH("Total Non Operating Revenue",'Prior Year Data Pull'!$A$1:$CB$1,0)),"")</f>
        <v>6472000</v>
      </c>
      <c r="AH66" s="38">
        <f>IFERROR(INDEX('Prior Year Data Pull'!$A$2:$CB$593,MATCH(C66,'Prior Year Data Pull'!$A$2:$A$593,0),MATCH("Less Accumulated Depreciation",'Prior Year Data Pull'!$A$1:$CB$1,0)),"")</f>
        <v>0</v>
      </c>
      <c r="AI66" s="38">
        <f>IFERROR(INDEX('Prior Year Data Pull'!$A$2:$CB$593,MATCH(C66,'Prior Year Data Pull'!$A$2:$A$593,0),MATCH("Depreciation and Amortization Expense",'Prior Year Data Pull'!$A$1:$CB$1,0)),"")</f>
        <v>3065000</v>
      </c>
      <c r="AJ66" s="38">
        <f>IFERROR(INDEX('Prior Year Data Pull'!$A$2:$CB$593,MATCH(C66,'Prior Year Data Pull'!$A$2:$A$593,0),MATCH("Net Patient Accounts Receivable",'Prior Year Data Pull'!$A$1:$CB$1,0)),"")</f>
        <v>0</v>
      </c>
      <c r="AK66" s="14">
        <v>365</v>
      </c>
      <c r="AL66" s="38">
        <f>IFERROR(INDEX('Prior Year Data Pull'!$A$2:$CB$593,MATCH(C66,'Prior Year Data Pull'!$A$2:$A$593,0),MATCH("Estimated Third Party Settlements",'Prior Year Data Pull'!$A$1:$CB$1,0)),"")</f>
        <v>0</v>
      </c>
      <c r="AM66" s="38">
        <f>IFERROR(INDEX('Prior Year Data Pull'!$A$2:$CB$593,MATCH(C66,'Prior Year Data Pull'!$A$2:$A$593,0),MATCH("Current Liabilities due to Affiliates",'Prior Year Data Pull'!$A$1:$CB$1,0)),"")</f>
        <v>0</v>
      </c>
      <c r="AN66" s="38">
        <f>IFERROR(INDEX('Prior Year Data Pull'!$A$2:$CB$593,MATCH(C66,'Prior Year Data Pull'!$A$2:$A$593,0),MATCH("Short Term Investments",'Prior Year Data Pull'!$A$1:$CB$1,0)),"")</f>
        <v>0</v>
      </c>
      <c r="AO66" s="38">
        <f>IFERROR(INDEX('Prior Year Data Pull'!$A$2:$CB$593,MATCH(C66,'Prior Year Data Pull'!$A$2:$A$593,0),MATCH("Cash and Cash Equivalents",'Prior Year Data Pull'!$A$1:$CB$1,0)),"")</f>
        <v>0</v>
      </c>
      <c r="AP66" s="38">
        <f>IFERROR(INDEX('Prior Year Data Pull'!$A$2:$CB$593,MATCH(C66,'Prior Year Data Pull'!$A$2:$A$593,0),MATCH("Interest Expense",'Prior Year Data Pull'!$A$1:$CB$1,0)),"")</f>
        <v>0</v>
      </c>
      <c r="AQ66" s="38">
        <f>IFERROR(INDEX('Prior Year Data Pull'!$A$2:$CB$593,MATCH(C66,'Prior Year Data Pull'!$A$2:$A$593,0),MATCH("Long Term Debt Net of Current Portion",'Prior Year Data Pull'!$A$1:$CB$1,0)),"")</f>
        <v>0</v>
      </c>
      <c r="AR66" s="38">
        <f>IFERROR(INDEX('Prior Year Data Pull'!$A$2:$CB$593,MATCH(C66,'Prior Year Data Pull'!$A$2:$A$593,0),MATCH("Total Assets",'Prior Year Data Pull'!$A$1:$CB$1,0)),"")</f>
        <v>0</v>
      </c>
      <c r="AS66" s="38">
        <f>IFERROR(INDEX('Prior Year Data Pull'!$A$2:$CB$593,MATCH(C66,'Prior Year Data Pull'!$A$2:$A$593,0),MATCH("Long Term Debt Net of Current Portion",'Prior Year Data Pull'!$A$1:$CB$1,0)),"")</f>
        <v>0</v>
      </c>
      <c r="AT66" s="38">
        <f>IFERROR(INDEX('Prior Year Data Pull'!$A$2:$CB$593,MATCH(C66,'Prior Year Data Pull'!$A$2:$A$593,0),MATCH("Net Unrestricted Assets",'Prior Year Data Pull'!$A$1:$CB$1,0)),"")</f>
        <v>0</v>
      </c>
      <c r="AU66" s="38">
        <f>IFERROR(INDEX('Prior Year Data Pull'!$A$2:$CB$593,MATCH(C66,'Prior Year Data Pull'!$A$2:$A$593,0),MATCH("Unrealized Gains/Losses",'Prior Year Data Pull'!$A$1:$CB$1,0)),"")</f>
        <v>0</v>
      </c>
      <c r="AV66" s="38">
        <f>IFERROR(INDEX('Prior Year Data Pull'!$A$2:$CB$593,MATCH(C66,'Prior Year Data Pull'!$A$2:$A$593,0),MATCH("Salary and Benefit Expense",'Prior Year Data Pull'!$A$1:$CB$1,0)),"")</f>
        <v>698226000</v>
      </c>
    </row>
    <row r="67" spans="1:48" ht="34.200000000000003" x14ac:dyDescent="0.3">
      <c r="A67" s="46" t="str">
        <f>IFERROR(INDEX('Static Data Tab'!$N$2:$N$610,MATCH(D67,'Static Data Tab'!$D$2:$D$610,0)), "")</f>
        <v>Beth Israel Lahey Health</v>
      </c>
      <c r="B67" s="46" t="s">
        <v>104</v>
      </c>
      <c r="C67" s="46">
        <v>9914</v>
      </c>
      <c r="D67" s="46">
        <v>16665</v>
      </c>
      <c r="E67" s="46" t="str">
        <f>IFERROR(INDEX('Prior Year Data Pull'!$A$1:$CB$593,MATCH(C67,'Prior Year Data Pull'!$A$1:$A$593,0),MATCH("Organization Type",'Prior Year Data Pull'!$A$1:$CB$1,0)),"")</f>
        <v>PhysicianOrganization</v>
      </c>
      <c r="F67" s="46" t="str">
        <f>IFERROR(INDEX('Static Data Tab'!$E$2:$E$610,MATCH(C67,'Static Data Tab'!$B$2:$B$610,0)), "-")</f>
        <v>-</v>
      </c>
      <c r="G67" s="46" t="str">
        <f>IFERROR(INDEX('Static Data Tab'!$J$2:$J$610,MATCH(C67,'Static Data Tab'!$B$2:$B$610,0)), "")</f>
        <v/>
      </c>
      <c r="H67" s="46" t="str">
        <f>IFERROR(INDEX('Static Data Tab'!$F$2:$F$610,MATCH(C67,'Static Data Tab'!$B$2:$B$610,0)), "")</f>
        <v/>
      </c>
      <c r="I67" s="46" t="str">
        <f>IFERROR(INDEX('Static Data Tab'!$G$2:$G$610,MATCH(C67,'Static Data Tab'!$B$2:$B$610,0)), "")</f>
        <v/>
      </c>
      <c r="J67" s="46" t="str">
        <f>IFERROR(INDEX('Prior Year Data Pull'!$A$2:$CB$593,MATCH(C67,'Prior Year Data Pull'!$A$2:$A$593,0),MATCH("Quarter Range",'Prior Year Data Pull'!$A$1:$CB$1,0)),"")</f>
        <v xml:space="preserve">10/01/2024-09/30/2025
</v>
      </c>
      <c r="K67" s="45">
        <f t="shared" si="13"/>
        <v>1.26322748328028E-2</v>
      </c>
      <c r="L67" s="45">
        <f t="shared" si="14"/>
        <v>3.6041241221298002E-2</v>
      </c>
      <c r="M67" s="45">
        <f t="shared" si="15"/>
        <v>4.86735160541008E-2</v>
      </c>
      <c r="N67" s="47">
        <f t="shared" si="16"/>
        <v>53747000</v>
      </c>
      <c r="O67" s="265" t="str">
        <f t="shared" si="17"/>
        <v/>
      </c>
      <c r="P67" s="47">
        <f>IFERROR(INDEX('Prior Year Data Pull'!$A$2:$CB$593,MATCH('Prior Year Data Table'!$C67,'Prior Year Data Pull'!$A$2:$A$593,0),MATCH("Total Net Assets or Equity",'Prior Year Data Pull'!$A$1:$CB$1,0)),"")</f>
        <v>0</v>
      </c>
      <c r="Q67" s="47">
        <f>IFERROR(INDEX('Prior Year Data Pull'!$A$2:$CB$593,MATCH('Prior Year Data Table'!$C67,'Prior Year Data Pull'!$A$2:$A$593,0),MATCH("Total Operating Revenue",'Prior Year Data Pull'!$A$1:$CB$1,0)),"")</f>
        <v>1064437000</v>
      </c>
      <c r="R67" s="47">
        <f>IFERROR(INDEX('Prior Year Data Pull'!$A$2:$CB$593,MATCH('Prior Year Data Table'!$C67,'Prior Year Data Pull'!$A$2:$A$593,0),MATCH("Total Unrestricted Revenue Gains and Other Support",'Prior Year Data Pull'!$A$1:$CB$1,0)),"")</f>
        <v>1104235000</v>
      </c>
      <c r="S67" s="47">
        <f>IFERROR(INDEX('Prior Year TS Data Pull'!$K$2:$K$607,MATCH(C67,'Prior Year TS Data Pull'!$A$2:$A$607,0))+INDEX('Prior Year TS Data Pull'!$O$2:$O$119,MATCH(C67,'Prior Year TS Data Pull'!$A$2:$A$607,0))+INDEX('Prior Year TS Data Pull'!$S$2:$S$119,MATCH(C67,'Prior Year TS Data Pull'!$A$2:$A$607,0)),"")</f>
        <v>8770189.0999999996</v>
      </c>
      <c r="T67" s="47">
        <f>IF(INDEX('Prior Year TS Data Pull'!$A$1:$O$607,MATCH(C67,'Prior Year TS Data Pull'!$A$1:$A$607,0),MATCH("Temporary RN Staffing:
Line Reported on in Standardized Financials",'Prior Year TS Data Pull'!$A$1:$O$1,0))="66.1: Salary and Benefit Expense",'Prior Year Data Table'!$AV67-'Prior Year Data Table'!$S67,0)</f>
        <v>941043810.89999998</v>
      </c>
      <c r="U67" s="47">
        <f>IFERROR(INDEX('Prior Year Data Pull'!$A$2:$CB$593,MATCH(C67,'Prior Year Data Pull'!$A$2:$A$593,0),MATCH("Total Expenses Including Nonrecurring Gains Losses",'Prior Year Data Pull'!$A$1:$CB$1,0)),"")</f>
        <v>1050488000</v>
      </c>
      <c r="V67" s="266">
        <f t="shared" si="18"/>
        <v>0</v>
      </c>
      <c r="W67" s="266">
        <f t="shared" si="19"/>
        <v>0</v>
      </c>
      <c r="X67" s="266">
        <f t="shared" si="20"/>
        <v>0</v>
      </c>
      <c r="Y67" s="45" t="str">
        <f t="shared" si="21"/>
        <v/>
      </c>
      <c r="Z67" s="266">
        <f t="shared" si="22"/>
        <v>0</v>
      </c>
      <c r="AA67" s="265" t="str">
        <f t="shared" si="23"/>
        <v/>
      </c>
      <c r="AB67" s="45" t="str">
        <f t="shared" si="24"/>
        <v/>
      </c>
      <c r="AC67" s="45" t="str">
        <f t="shared" si="25"/>
        <v/>
      </c>
      <c r="AD67" s="47">
        <f>IFERROR(INDEX('Prior Year Data Pull'!$A$2:$CB$593,MATCH(C67,'Prior Year Data Pull'!$A$2:$A$593,0),MATCH("Net Patient Service Revenue",'Prior Year Data Pull'!$A$1:$CB$1,0)),"")</f>
        <v>494222000</v>
      </c>
      <c r="AE67" s="47">
        <f>IFERROR(INDEX('Prior Year Data Pull'!$A$2:$CB$593,MATCH(C67,'Prior Year Data Pull'!$A$2:$A$593,0),MATCH("Total Current Assets",'Prior Year Data Pull'!$A$1:$CB$1,0)),"")</f>
        <v>0</v>
      </c>
      <c r="AF67" s="47">
        <f>IFERROR(INDEX('Prior Year Data Pull'!$A$2:$CB$593,MATCH(C67,'Prior Year Data Pull'!$A$2:$A$593,0),MATCH("Total Current Liabilities",'Prior Year Data Pull'!$A$1:$CB$1,0)),"")</f>
        <v>0</v>
      </c>
      <c r="AG67" s="47">
        <f>IFERROR(INDEX('Prior Year Data Pull'!$A$2:$CB$593,MATCH(C67,'Prior Year Data Pull'!$A$2:$A$593,0),MATCH("Total Non Operating Revenue",'Prior Year Data Pull'!$A$1:$CB$1,0)),"")</f>
        <v>39798000</v>
      </c>
      <c r="AH67" s="47">
        <f>IFERROR(INDEX('Prior Year Data Pull'!$A$2:$CB$593,MATCH(C67,'Prior Year Data Pull'!$A$2:$A$593,0),MATCH("Less Accumulated Depreciation",'Prior Year Data Pull'!$A$1:$CB$1,0)),"")</f>
        <v>0</v>
      </c>
      <c r="AI67" s="47">
        <f>IFERROR(INDEX('Prior Year Data Pull'!$A$2:$CB$593,MATCH(C67,'Prior Year Data Pull'!$A$2:$A$593,0),MATCH("Depreciation and Amortization Expense",'Prior Year Data Pull'!$A$1:$CB$1,0)),"")</f>
        <v>1318000</v>
      </c>
      <c r="AJ67" s="47">
        <f>IFERROR(INDEX('Prior Year Data Pull'!$A$2:$CB$593,MATCH(C67,'Prior Year Data Pull'!$A$2:$A$593,0),MATCH("Net Patient Accounts Receivable",'Prior Year Data Pull'!$A$1:$CB$1,0)),"")</f>
        <v>0</v>
      </c>
      <c r="AK67" s="46">
        <v>365</v>
      </c>
      <c r="AL67" s="47">
        <f>IFERROR(INDEX('Prior Year Data Pull'!$A$2:$CB$593,MATCH(C67,'Prior Year Data Pull'!$A$2:$A$593,0),MATCH("Estimated Third Party Settlements",'Prior Year Data Pull'!$A$1:$CB$1,0)),"")</f>
        <v>0</v>
      </c>
      <c r="AM67" s="47">
        <f>IFERROR(INDEX('Prior Year Data Pull'!$A$2:$CB$593,MATCH(C67,'Prior Year Data Pull'!$A$2:$A$593,0),MATCH("Current Liabilities due to Affiliates",'Prior Year Data Pull'!$A$1:$CB$1,0)),"")</f>
        <v>0</v>
      </c>
      <c r="AN67" s="47">
        <f>IFERROR(INDEX('Prior Year Data Pull'!$A$2:$CB$593,MATCH(C67,'Prior Year Data Pull'!$A$2:$A$593,0),MATCH("Short Term Investments",'Prior Year Data Pull'!$A$1:$CB$1,0)),"")</f>
        <v>0</v>
      </c>
      <c r="AO67" s="47">
        <f>IFERROR(INDEX('Prior Year Data Pull'!$A$2:$CB$593,MATCH(C67,'Prior Year Data Pull'!$A$2:$A$593,0),MATCH("Cash and Cash Equivalents",'Prior Year Data Pull'!$A$1:$CB$1,0)),"")</f>
        <v>0</v>
      </c>
      <c r="AP67" s="47">
        <f>IFERROR(INDEX('Prior Year Data Pull'!$A$2:$CB$593,MATCH(C67,'Prior Year Data Pull'!$A$2:$A$593,0),MATCH("Interest Expense",'Prior Year Data Pull'!$A$1:$CB$1,0)),"")</f>
        <v>0</v>
      </c>
      <c r="AQ67" s="47">
        <f>IFERROR(INDEX('Prior Year Data Pull'!$A$2:$CB$593,MATCH(C67,'Prior Year Data Pull'!$A$2:$A$593,0),MATCH("Long Term Debt Net of Current Portion",'Prior Year Data Pull'!$A$1:$CB$1,0)),"")</f>
        <v>0</v>
      </c>
      <c r="AR67" s="47">
        <f>IFERROR(INDEX('Prior Year Data Pull'!$A$2:$CB$593,MATCH(C67,'Prior Year Data Pull'!$A$2:$A$593,0),MATCH("Total Assets",'Prior Year Data Pull'!$A$1:$CB$1,0)),"")</f>
        <v>0</v>
      </c>
      <c r="AS67" s="47">
        <f>IFERROR(INDEX('Prior Year Data Pull'!$A$2:$CB$593,MATCH(C67,'Prior Year Data Pull'!$A$2:$A$593,0),MATCH("Long Term Debt Net of Current Portion",'Prior Year Data Pull'!$A$1:$CB$1,0)),"")</f>
        <v>0</v>
      </c>
      <c r="AT67" s="47">
        <f>IFERROR(INDEX('Prior Year Data Pull'!$A$2:$CB$593,MATCH(C67,'Prior Year Data Pull'!$A$2:$A$593,0),MATCH("Net Unrestricted Assets",'Prior Year Data Pull'!$A$1:$CB$1,0)),"")</f>
        <v>0</v>
      </c>
      <c r="AU67" s="47">
        <f>IFERROR(INDEX('Prior Year Data Pull'!$A$2:$CB$593,MATCH(C67,'Prior Year Data Pull'!$A$2:$A$593,0),MATCH("Unrealized Gains/Losses",'Prior Year Data Pull'!$A$1:$CB$1,0)),"")</f>
        <v>948000</v>
      </c>
      <c r="AV67" s="47">
        <f>IFERROR(INDEX('Prior Year Data Pull'!$A$2:$CB$593,MATCH(C67,'Prior Year Data Pull'!$A$2:$A$593,0),MATCH("Salary and Benefit Expense",'Prior Year Data Pull'!$A$1:$CB$1,0)),"")</f>
        <v>949814000</v>
      </c>
    </row>
    <row r="68" spans="1:48" ht="34.200000000000003" x14ac:dyDescent="0.3">
      <c r="A68" s="14" t="str">
        <f>IFERROR(INDEX('Static Data Tab'!$N$2:$N$610,MATCH(D68,'Static Data Tab'!$D$2:$D$610,0)), "")</f>
        <v>Cape Cod Healthcare</v>
      </c>
      <c r="B68" s="14" t="s">
        <v>122</v>
      </c>
      <c r="C68" s="14">
        <v>3109</v>
      </c>
      <c r="D68" s="14">
        <v>3109</v>
      </c>
      <c r="E68" s="14" t="str">
        <f>IFERROR(INDEX('Prior Year Data Pull'!$A$1:$CB$593,MATCH(C68,'Prior Year Data Pull'!$A$1:$A$593,0),MATCH("Organization Type",'Prior Year Data Pull'!$A$1:$CB$1,0)),"")</f>
        <v>HHS</v>
      </c>
      <c r="F68" s="14" t="str">
        <f>IFERROR(INDEX('Static Data Tab'!$E$2:$E$610,MATCH(C68,'Static Data Tab'!$B$2:$B$610,0)), "-")</f>
        <v>-</v>
      </c>
      <c r="G68" s="14" t="str">
        <f>IFERROR(INDEX('Static Data Tab'!$J$2:$J$610,MATCH(C68,'Static Data Tab'!$B$2:$B$610,0)), "")</f>
        <v/>
      </c>
      <c r="H68" s="14" t="str">
        <f>IFERROR(INDEX('Static Data Tab'!$F$2:$F$610,MATCH(C68,'Static Data Tab'!$B$2:$B$610,0)), "")</f>
        <v/>
      </c>
      <c r="I68" s="14" t="str">
        <f>IFERROR(INDEX('Static Data Tab'!$G$2:$G$610,MATCH(C68,'Static Data Tab'!$B$2:$B$610,0)), "")</f>
        <v/>
      </c>
      <c r="J68" s="14" t="str">
        <f>IFERROR(INDEX('Prior Year Data Pull'!$A$2:$CB$593,MATCH(C68,'Prior Year Data Pull'!$A$2:$A$593,0),MATCH("Quarter Range",'Prior Year Data Pull'!$A$1:$CB$1,0)),"")</f>
        <v xml:space="preserve">10/01/2024-09/30/2025
</v>
      </c>
      <c r="K68" s="37">
        <f t="shared" si="13"/>
        <v>1.0162549754961654E-2</v>
      </c>
      <c r="L68" s="37">
        <f t="shared" si="14"/>
        <v>4.6869085554475526E-2</v>
      </c>
      <c r="M68" s="37">
        <f t="shared" si="15"/>
        <v>5.7031635309437181E-2</v>
      </c>
      <c r="N68" s="38">
        <f t="shared" si="16"/>
        <v>73062361</v>
      </c>
      <c r="O68" s="39">
        <f t="shared" si="17"/>
        <v>1.4210446090593174</v>
      </c>
      <c r="P68" s="38">
        <f>IFERROR(INDEX('Prior Year Data Pull'!$A$2:$CB$593,MATCH('Prior Year Data Table'!$C68,'Prior Year Data Pull'!$A$2:$A$593,0),MATCH("Total Net Assets or Equity",'Prior Year Data Pull'!$A$1:$CB$1,0)),"")</f>
        <v>1078438278</v>
      </c>
      <c r="Q68" s="38">
        <f>IFERROR(INDEX('Prior Year Data Pull'!$A$2:$CB$593,MATCH('Prior Year Data Table'!$C68,'Prior Year Data Pull'!$A$2:$A$593,0),MATCH("Total Operating Revenue",'Prior Year Data Pull'!$A$1:$CB$1,0)),"")</f>
        <v>1221041525</v>
      </c>
      <c r="R68" s="38">
        <f>IFERROR(INDEX('Prior Year Data Pull'!$A$2:$CB$593,MATCH('Prior Year Data Table'!$C68,'Prior Year Data Pull'!$A$2:$A$593,0),MATCH("Total Unrestricted Revenue Gains and Other Support",'Prior Year Data Pull'!$A$1:$CB$1,0)),"")</f>
        <v>1281084798</v>
      </c>
      <c r="S68" s="38">
        <f>IFERROR(INDEX('Prior Year TS Data Pull'!$K$2:$K$607,MATCH(C68,'Prior Year TS Data Pull'!$A$2:$A$607,0))+INDEX('Prior Year TS Data Pull'!$O$2:$O$119,MATCH(C68,'Prior Year TS Data Pull'!$A$2:$A$607,0))+INDEX('Prior Year TS Data Pull'!$S$2:$S$119,MATCH(C68,'Prior Year TS Data Pull'!$A$2:$A$607,0)),"")</f>
        <v>10860421.620000001</v>
      </c>
      <c r="T68" s="38">
        <f>IF(INDEX('Prior Year TS Data Pull'!$A$1:$O$607,MATCH(C68,'Prior Year TS Data Pull'!$A$1:$A$607,0),MATCH("Temporary RN Staffing:
Line Reported on in Standardized Financials",'Prior Year TS Data Pull'!$A$1:$O$1,0))="66.1: Salary and Benefit Expense",'Prior Year Data Table'!$AV68-'Prior Year Data Table'!$S68,0)</f>
        <v>722764863.38</v>
      </c>
      <c r="U68" s="38">
        <f>IFERROR(INDEX('Prior Year Data Pull'!$A$2:$CB$593,MATCH(C68,'Prior Year Data Pull'!$A$2:$A$593,0),MATCH("Total Expenses Including Nonrecurring Gains Losses",'Prior Year Data Pull'!$A$1:$CB$1,0)),"")</f>
        <v>1208022437</v>
      </c>
      <c r="V68" s="41">
        <f t="shared" si="18"/>
        <v>14.7126968078143</v>
      </c>
      <c r="W68" s="41">
        <f t="shared" si="19"/>
        <v>35.910246613331289</v>
      </c>
      <c r="X68" s="41">
        <f t="shared" si="20"/>
        <v>59.774897707103939</v>
      </c>
      <c r="Y68" s="37">
        <f t="shared" si="21"/>
        <v>1.0330510872660517</v>
      </c>
      <c r="Z68" s="41">
        <f t="shared" si="22"/>
        <v>37.119315016666079</v>
      </c>
      <c r="AA68" s="39">
        <f t="shared" si="23"/>
        <v>1.0326611760011606</v>
      </c>
      <c r="AB68" s="37">
        <f t="shared" si="24"/>
        <v>0.72875280581833535</v>
      </c>
      <c r="AC68" s="37">
        <f t="shared" si="25"/>
        <v>0.10103182323038083</v>
      </c>
      <c r="AD68" s="38">
        <f>IFERROR(INDEX('Prior Year Data Pull'!$A$2:$CB$593,MATCH(C68,'Prior Year Data Pull'!$A$2:$A$593,0),MATCH("Net Patient Service Revenue",'Prior Year Data Pull'!$A$1:$CB$1,0)),"")</f>
        <v>1122218935</v>
      </c>
      <c r="AE68" s="38">
        <f>IFERROR(INDEX('Prior Year Data Pull'!$A$2:$CB$593,MATCH(C68,'Prior Year Data Pull'!$A$2:$A$593,0),MATCH("Total Current Assets",'Prior Year Data Pull'!$A$1:$CB$1,0)),"")</f>
        <v>287401263</v>
      </c>
      <c r="AF68" s="38">
        <f>IFERROR(INDEX('Prior Year Data Pull'!$A$2:$CB$593,MATCH(C68,'Prior Year Data Pull'!$A$2:$A$593,0),MATCH("Total Current Liabilities",'Prior Year Data Pull'!$A$1:$CB$1,0)),"")</f>
        <v>202246475</v>
      </c>
      <c r="AG68" s="38">
        <f>IFERROR(INDEX('Prior Year Data Pull'!$A$2:$CB$593,MATCH(C68,'Prior Year Data Pull'!$A$2:$A$593,0),MATCH("Total Non Operating Revenue",'Prior Year Data Pull'!$A$1:$CB$1,0)),"")</f>
        <v>60043273</v>
      </c>
      <c r="AH68" s="38">
        <f>IFERROR(INDEX('Prior Year Data Pull'!$A$2:$CB$593,MATCH(C68,'Prior Year Data Pull'!$A$2:$A$593,0),MATCH("Less Accumulated Depreciation",'Prior Year Data Pull'!$A$1:$CB$1,0)),"")</f>
        <v>619923423</v>
      </c>
      <c r="AI68" s="38">
        <f>IFERROR(INDEX('Prior Year Data Pull'!$A$2:$CB$593,MATCH(C68,'Prior Year Data Pull'!$A$2:$A$593,0),MATCH("Depreciation and Amortization Expense",'Prior Year Data Pull'!$A$1:$CB$1,0)),"")</f>
        <v>42135268</v>
      </c>
      <c r="AJ68" s="38">
        <f>IFERROR(INDEX('Prior Year Data Pull'!$A$2:$CB$593,MATCH(C68,'Prior Year Data Pull'!$A$2:$A$593,0),MATCH("Net Patient Accounts Receivable",'Prior Year Data Pull'!$A$1:$CB$1,0)),"")</f>
        <v>110408654</v>
      </c>
      <c r="AK68" s="14">
        <v>365</v>
      </c>
      <c r="AL68" s="38">
        <f>IFERROR(INDEX('Prior Year Data Pull'!$A$2:$CB$593,MATCH(C68,'Prior Year Data Pull'!$A$2:$A$593,0),MATCH("Estimated Third Party Settlements",'Prior Year Data Pull'!$A$1:$CB$1,0)),"")</f>
        <v>11312814</v>
      </c>
      <c r="AM68" s="38">
        <f>IFERROR(INDEX('Prior Year Data Pull'!$A$2:$CB$593,MATCH(C68,'Prior Year Data Pull'!$A$2:$A$593,0),MATCH("Current Liabilities due to Affiliates",'Prior Year Data Pull'!$A$1:$CB$1,0)),"")</f>
        <v>0</v>
      </c>
      <c r="AN68" s="38">
        <f>IFERROR(INDEX('Prior Year Data Pull'!$A$2:$CB$593,MATCH(C68,'Prior Year Data Pull'!$A$2:$A$593,0),MATCH("Short Term Investments",'Prior Year Data Pull'!$A$1:$CB$1,0)),"")</f>
        <v>61378205</v>
      </c>
      <c r="AO68" s="38">
        <f>IFERROR(INDEX('Prior Year Data Pull'!$A$2:$CB$593,MATCH(C68,'Prior Year Data Pull'!$A$2:$A$593,0),MATCH("Cash and Cash Equivalents",'Prior Year Data Pull'!$A$1:$CB$1,0)),"")</f>
        <v>57188735</v>
      </c>
      <c r="AP68" s="38">
        <f>IFERROR(INDEX('Prior Year Data Pull'!$A$2:$CB$593,MATCH(C68,'Prior Year Data Pull'!$A$2:$A$593,0),MATCH("Interest Expense",'Prior Year Data Pull'!$A$1:$CB$1,0)),"")</f>
        <v>1331238</v>
      </c>
      <c r="AQ68" s="38">
        <f>IFERROR(INDEX('Prior Year Data Pull'!$A$2:$CB$593,MATCH(C68,'Prior Year Data Pull'!$A$2:$A$593,0),MATCH("Long Term Debt Net of Current Portion",'Prior Year Data Pull'!$A$1:$CB$1,0)),"")</f>
        <v>111512035</v>
      </c>
      <c r="AR68" s="38">
        <f>IFERROR(INDEX('Prior Year Data Pull'!$A$2:$CB$593,MATCH(C68,'Prior Year Data Pull'!$A$2:$A$593,0),MATCH("Total Assets",'Prior Year Data Pull'!$A$1:$CB$1,0)),"")</f>
        <v>1479840996</v>
      </c>
      <c r="AS68" s="38">
        <f>IFERROR(INDEX('Prior Year Data Pull'!$A$2:$CB$593,MATCH(C68,'Prior Year Data Pull'!$A$2:$A$593,0),MATCH("Long Term Debt Net of Current Portion",'Prior Year Data Pull'!$A$1:$CB$1,0)),"")</f>
        <v>111512035</v>
      </c>
      <c r="AT68" s="38">
        <f>IFERROR(INDEX('Prior Year Data Pull'!$A$2:$CB$593,MATCH(C68,'Prior Year Data Pull'!$A$2:$A$593,0),MATCH("Net Unrestricted Assets",'Prior Year Data Pull'!$A$1:$CB$1,0)),"")</f>
        <v>992219754</v>
      </c>
      <c r="AU68" s="38">
        <f>IFERROR(INDEX('Prior Year Data Pull'!$A$2:$CB$593,MATCH(C68,'Prior Year Data Pull'!$A$2:$A$593,0),MATCH("Unrealized Gains/Losses",'Prior Year Data Pull'!$A$1:$CB$1,0)),"")</f>
        <v>0</v>
      </c>
      <c r="AV68" s="38">
        <f>IFERROR(INDEX('Prior Year Data Pull'!$A$2:$CB$593,MATCH(C68,'Prior Year Data Pull'!$A$2:$A$593,0),MATCH("Salary and Benefit Expense",'Prior Year Data Pull'!$A$1:$CB$1,0)),"")</f>
        <v>733625285</v>
      </c>
    </row>
    <row r="69" spans="1:48" ht="34.200000000000003" x14ac:dyDescent="0.3">
      <c r="A69" s="46" t="str">
        <f>IFERROR(INDEX('Static Data Tab'!$N$2:$N$610,MATCH(D69,'Static Data Tab'!$D$2:$D$610,0)), "")</f>
        <v>Signature Healthcare Corporation</v>
      </c>
      <c r="B69" s="46" t="s">
        <v>165</v>
      </c>
      <c r="C69" s="46">
        <v>10327</v>
      </c>
      <c r="D69" s="46">
        <v>9991</v>
      </c>
      <c r="E69" s="46" t="str">
        <f>IFERROR(INDEX('Prior Year Data Pull'!$A$1:$CB$593,MATCH(C69,'Prior Year Data Pull'!$A$1:$A$593,0),MATCH("Organization Type",'Prior Year Data Pull'!$A$1:$CB$1,0)),"")</f>
        <v>PhysicianOrganization</v>
      </c>
      <c r="F69" s="46" t="str">
        <f>IFERROR(INDEX('Static Data Tab'!$E$2:$E$610,MATCH(C69,'Static Data Tab'!$B$2:$B$610,0)), "-")</f>
        <v>-</v>
      </c>
      <c r="G69" s="46" t="str">
        <f>IFERROR(INDEX('Static Data Tab'!$J$2:$J$610,MATCH(C69,'Static Data Tab'!$B$2:$B$610,0)), "")</f>
        <v/>
      </c>
      <c r="H69" s="46" t="str">
        <f>IFERROR(INDEX('Static Data Tab'!$F$2:$F$610,MATCH(C69,'Static Data Tab'!$B$2:$B$610,0)), "")</f>
        <v/>
      </c>
      <c r="I69" s="46" t="str">
        <f>IFERROR(INDEX('Static Data Tab'!$G$2:$G$610,MATCH(C69,'Static Data Tab'!$B$2:$B$610,0)), "")</f>
        <v/>
      </c>
      <c r="J69" s="46" t="str">
        <f>IFERROR(INDEX('Prior Year Data Pull'!$A$2:$CB$593,MATCH(C69,'Prior Year Data Pull'!$A$2:$A$593,0),MATCH("Quarter Range",'Prior Year Data Pull'!$A$1:$CB$1,0)),"")</f>
        <v xml:space="preserve">10/01/2024-09/30/2025
</v>
      </c>
      <c r="K69" s="45">
        <f t="shared" si="13"/>
        <v>-0.12711268822353761</v>
      </c>
      <c r="L69" s="45">
        <f t="shared" si="14"/>
        <v>0</v>
      </c>
      <c r="M69" s="45">
        <f t="shared" si="15"/>
        <v>-0.12711268822353761</v>
      </c>
      <c r="N69" s="47">
        <f t="shared" si="16"/>
        <v>-11175519</v>
      </c>
      <c r="O69" s="265" t="str">
        <f t="shared" si="17"/>
        <v/>
      </c>
      <c r="P69" s="47">
        <f>IFERROR(INDEX('Prior Year Data Pull'!$A$2:$CB$593,MATCH('Prior Year Data Table'!$C69,'Prior Year Data Pull'!$A$2:$A$593,0),MATCH("Total Net Assets or Equity",'Prior Year Data Pull'!$A$1:$CB$1,0)),"")</f>
        <v>0</v>
      </c>
      <c r="Q69" s="47">
        <f>IFERROR(INDEX('Prior Year Data Pull'!$A$2:$CB$593,MATCH('Prior Year Data Table'!$C69,'Prior Year Data Pull'!$A$2:$A$593,0),MATCH("Total Operating Revenue",'Prior Year Data Pull'!$A$1:$CB$1,0)),"")</f>
        <v>87918202</v>
      </c>
      <c r="R69" s="47">
        <f>IFERROR(INDEX('Prior Year Data Pull'!$A$2:$CB$593,MATCH('Prior Year Data Table'!$C69,'Prior Year Data Pull'!$A$2:$A$593,0),MATCH("Total Unrestricted Revenue Gains and Other Support",'Prior Year Data Pull'!$A$1:$CB$1,0)),"")</f>
        <v>87918202</v>
      </c>
      <c r="S69" s="47">
        <f>IFERROR(INDEX('Prior Year TS Data Pull'!$K$2:$K$607,MATCH(C69,'Prior Year TS Data Pull'!$A$2:$A$607,0))+INDEX('Prior Year TS Data Pull'!$O$2:$O$119,MATCH(C69,'Prior Year TS Data Pull'!$A$2:$A$607,0))+INDEX('Prior Year TS Data Pull'!$S$2:$S$119,MATCH(C69,'Prior Year TS Data Pull'!$A$2:$A$607,0)),"")</f>
        <v>5214705</v>
      </c>
      <c r="T69" s="47">
        <f>IF(INDEX('Prior Year TS Data Pull'!$A$1:$O$607,MATCH(C69,'Prior Year TS Data Pull'!$A$1:$A$607,0),MATCH("Temporary RN Staffing:
Line Reported on in Standardized Financials",'Prior Year TS Data Pull'!$A$1:$O$1,0))="66.1: Salary and Benefit Expense",'Prior Year Data Table'!$AV69-'Prior Year Data Table'!$S69,0)</f>
        <v>0</v>
      </c>
      <c r="U69" s="47">
        <f>IFERROR(INDEX('Prior Year Data Pull'!$A$2:$CB$593,MATCH(C69,'Prior Year Data Pull'!$A$2:$A$593,0),MATCH("Total Expenses Including Nonrecurring Gains Losses",'Prior Year Data Pull'!$A$1:$CB$1,0)),"")</f>
        <v>99093721</v>
      </c>
      <c r="V69" s="266">
        <f t="shared" si="18"/>
        <v>0</v>
      </c>
      <c r="W69" s="266">
        <f t="shared" si="19"/>
        <v>0</v>
      </c>
      <c r="X69" s="266">
        <f t="shared" si="20"/>
        <v>0</v>
      </c>
      <c r="Y69" s="45" t="str">
        <f t="shared" si="21"/>
        <v/>
      </c>
      <c r="Z69" s="266">
        <f t="shared" si="22"/>
        <v>0</v>
      </c>
      <c r="AA69" s="265" t="str">
        <f t="shared" si="23"/>
        <v/>
      </c>
      <c r="AB69" s="45" t="str">
        <f t="shared" si="24"/>
        <v/>
      </c>
      <c r="AC69" s="45" t="str">
        <f t="shared" si="25"/>
        <v/>
      </c>
      <c r="AD69" s="47">
        <f>IFERROR(INDEX('Prior Year Data Pull'!$A$2:$CB$593,MATCH(C69,'Prior Year Data Pull'!$A$2:$A$593,0),MATCH("Net Patient Service Revenue",'Prior Year Data Pull'!$A$1:$CB$1,0)),"")</f>
        <v>66058061</v>
      </c>
      <c r="AE69" s="47">
        <f>IFERROR(INDEX('Prior Year Data Pull'!$A$2:$CB$593,MATCH(C69,'Prior Year Data Pull'!$A$2:$A$593,0),MATCH("Total Current Assets",'Prior Year Data Pull'!$A$1:$CB$1,0)),"")</f>
        <v>0</v>
      </c>
      <c r="AF69" s="47">
        <f>IFERROR(INDEX('Prior Year Data Pull'!$A$2:$CB$593,MATCH(C69,'Prior Year Data Pull'!$A$2:$A$593,0),MATCH("Total Current Liabilities",'Prior Year Data Pull'!$A$1:$CB$1,0)),"")</f>
        <v>0</v>
      </c>
      <c r="AG69" s="47">
        <f>IFERROR(INDEX('Prior Year Data Pull'!$A$2:$CB$593,MATCH(C69,'Prior Year Data Pull'!$A$2:$A$593,0),MATCH("Total Non Operating Revenue",'Prior Year Data Pull'!$A$1:$CB$1,0)),"")</f>
        <v>0</v>
      </c>
      <c r="AH69" s="47">
        <f>IFERROR(INDEX('Prior Year Data Pull'!$A$2:$CB$593,MATCH(C69,'Prior Year Data Pull'!$A$2:$A$593,0),MATCH("Less Accumulated Depreciation",'Prior Year Data Pull'!$A$1:$CB$1,0)),"")</f>
        <v>0</v>
      </c>
      <c r="AI69" s="47">
        <f>IFERROR(INDEX('Prior Year Data Pull'!$A$2:$CB$593,MATCH(C69,'Prior Year Data Pull'!$A$2:$A$593,0),MATCH("Depreciation and Amortization Expense",'Prior Year Data Pull'!$A$1:$CB$1,0)),"")</f>
        <v>617459</v>
      </c>
      <c r="AJ69" s="47">
        <f>IFERROR(INDEX('Prior Year Data Pull'!$A$2:$CB$593,MATCH(C69,'Prior Year Data Pull'!$A$2:$A$593,0),MATCH("Net Patient Accounts Receivable",'Prior Year Data Pull'!$A$1:$CB$1,0)),"")</f>
        <v>0</v>
      </c>
      <c r="AK69" s="46">
        <v>365</v>
      </c>
      <c r="AL69" s="47">
        <f>IFERROR(INDEX('Prior Year Data Pull'!$A$2:$CB$593,MATCH(C69,'Prior Year Data Pull'!$A$2:$A$593,0),MATCH("Estimated Third Party Settlements",'Prior Year Data Pull'!$A$1:$CB$1,0)),"")</f>
        <v>0</v>
      </c>
      <c r="AM69" s="47">
        <f>IFERROR(INDEX('Prior Year Data Pull'!$A$2:$CB$593,MATCH(C69,'Prior Year Data Pull'!$A$2:$A$593,0),MATCH("Current Liabilities due to Affiliates",'Prior Year Data Pull'!$A$1:$CB$1,0)),"")</f>
        <v>0</v>
      </c>
      <c r="AN69" s="47">
        <f>IFERROR(INDEX('Prior Year Data Pull'!$A$2:$CB$593,MATCH(C69,'Prior Year Data Pull'!$A$2:$A$593,0),MATCH("Short Term Investments",'Prior Year Data Pull'!$A$1:$CB$1,0)),"")</f>
        <v>0</v>
      </c>
      <c r="AO69" s="47">
        <f>IFERROR(INDEX('Prior Year Data Pull'!$A$2:$CB$593,MATCH(C69,'Prior Year Data Pull'!$A$2:$A$593,0),MATCH("Cash and Cash Equivalents",'Prior Year Data Pull'!$A$1:$CB$1,0)),"")</f>
        <v>0</v>
      </c>
      <c r="AP69" s="47">
        <f>IFERROR(INDEX('Prior Year Data Pull'!$A$2:$CB$593,MATCH(C69,'Prior Year Data Pull'!$A$2:$A$593,0),MATCH("Interest Expense",'Prior Year Data Pull'!$A$1:$CB$1,0)),"")</f>
        <v>0</v>
      </c>
      <c r="AQ69" s="47">
        <f>IFERROR(INDEX('Prior Year Data Pull'!$A$2:$CB$593,MATCH(C69,'Prior Year Data Pull'!$A$2:$A$593,0),MATCH("Long Term Debt Net of Current Portion",'Prior Year Data Pull'!$A$1:$CB$1,0)),"")</f>
        <v>0</v>
      </c>
      <c r="AR69" s="47">
        <f>IFERROR(INDEX('Prior Year Data Pull'!$A$2:$CB$593,MATCH(C69,'Prior Year Data Pull'!$A$2:$A$593,0),MATCH("Total Assets",'Prior Year Data Pull'!$A$1:$CB$1,0)),"")</f>
        <v>0</v>
      </c>
      <c r="AS69" s="47">
        <f>IFERROR(INDEX('Prior Year Data Pull'!$A$2:$CB$593,MATCH(C69,'Prior Year Data Pull'!$A$2:$A$593,0),MATCH("Long Term Debt Net of Current Portion",'Prior Year Data Pull'!$A$1:$CB$1,0)),"")</f>
        <v>0</v>
      </c>
      <c r="AT69" s="47">
        <f>IFERROR(INDEX('Prior Year Data Pull'!$A$2:$CB$593,MATCH(C69,'Prior Year Data Pull'!$A$2:$A$593,0),MATCH("Net Unrestricted Assets",'Prior Year Data Pull'!$A$1:$CB$1,0)),"")</f>
        <v>0</v>
      </c>
      <c r="AU69" s="47">
        <f>IFERROR(INDEX('Prior Year Data Pull'!$A$2:$CB$593,MATCH(C69,'Prior Year Data Pull'!$A$2:$A$593,0),MATCH("Unrealized Gains/Losses",'Prior Year Data Pull'!$A$1:$CB$1,0)),"")</f>
        <v>0</v>
      </c>
      <c r="AV69" s="47">
        <f>IFERROR(INDEX('Prior Year Data Pull'!$A$2:$CB$593,MATCH(C69,'Prior Year Data Pull'!$A$2:$A$593,0),MATCH("Salary and Benefit Expense",'Prior Year Data Pull'!$A$1:$CB$1,0)),"")</f>
        <v>81504687</v>
      </c>
    </row>
    <row r="70" spans="1:48" ht="34.200000000000003" x14ac:dyDescent="0.3">
      <c r="A70" s="14" t="str">
        <f>IFERROR(INDEX('Static Data Tab'!$N$2:$N$610,MATCH(D70,'Static Data Tab'!$D$2:$D$610,0)), "")</f>
        <v>Heywood Healthcare</v>
      </c>
      <c r="B70" s="14" t="s">
        <v>137</v>
      </c>
      <c r="C70" s="14">
        <v>10976</v>
      </c>
      <c r="D70" s="14">
        <v>12807</v>
      </c>
      <c r="E70" s="14" t="str">
        <f>IFERROR(INDEX('Prior Year Data Pull'!$A$1:$CB$593,MATCH(C70,'Prior Year Data Pull'!$A$1:$A$593,0),MATCH("Organization Type",'Prior Year Data Pull'!$A$1:$CB$1,0)),"")</f>
        <v>PhysicianOrganization</v>
      </c>
      <c r="F70" s="14" t="str">
        <f>IFERROR(INDEX('Static Data Tab'!$E$2:$E$610,MATCH(C70,'Static Data Tab'!$B$2:$B$610,0)), "-")</f>
        <v>-</v>
      </c>
      <c r="G70" s="14" t="str">
        <f>IFERROR(INDEX('Static Data Tab'!$J$2:$J$610,MATCH(C70,'Static Data Tab'!$B$2:$B$610,0)), "")</f>
        <v/>
      </c>
      <c r="H70" s="14" t="str">
        <f>IFERROR(INDEX('Static Data Tab'!$F$2:$F$610,MATCH(C70,'Static Data Tab'!$B$2:$B$610,0)), "")</f>
        <v/>
      </c>
      <c r="I70" s="14" t="str">
        <f>IFERROR(INDEX('Static Data Tab'!$G$2:$G$610,MATCH(C70,'Static Data Tab'!$B$2:$B$610,0)), "")</f>
        <v/>
      </c>
      <c r="J70" s="14" t="str">
        <f>IFERROR(INDEX('Prior Year Data Pull'!$A$2:$CB$593,MATCH(C70,'Prior Year Data Pull'!$A$2:$A$593,0),MATCH("Quarter Range",'Prior Year Data Pull'!$A$1:$CB$1,0)),"")</f>
        <v xml:space="preserve">10/01/2024-09/30/2025
</v>
      </c>
      <c r="K70" s="37">
        <f t="shared" si="13"/>
        <v>-0.82677610627461073</v>
      </c>
      <c r="L70" s="37">
        <f t="shared" si="14"/>
        <v>0</v>
      </c>
      <c r="M70" s="37">
        <f t="shared" si="15"/>
        <v>-0.82677610627461073</v>
      </c>
      <c r="N70" s="38">
        <f t="shared" si="16"/>
        <v>-6051362</v>
      </c>
      <c r="O70" s="39" t="str">
        <f t="shared" si="17"/>
        <v/>
      </c>
      <c r="P70" s="38">
        <f>IFERROR(INDEX('Prior Year Data Pull'!$A$2:$CB$593,MATCH('Prior Year Data Table'!$C70,'Prior Year Data Pull'!$A$2:$A$593,0),MATCH("Total Net Assets or Equity",'Prior Year Data Pull'!$A$1:$CB$1,0)),"")</f>
        <v>0</v>
      </c>
      <c r="Q70" s="38">
        <f>IFERROR(INDEX('Prior Year Data Pull'!$A$2:$CB$593,MATCH('Prior Year Data Table'!$C70,'Prior Year Data Pull'!$A$2:$A$593,0),MATCH("Total Operating Revenue",'Prior Year Data Pull'!$A$1:$CB$1,0)),"")</f>
        <v>7319227</v>
      </c>
      <c r="R70" s="38">
        <f>IFERROR(INDEX('Prior Year Data Pull'!$A$2:$CB$593,MATCH('Prior Year Data Table'!$C70,'Prior Year Data Pull'!$A$2:$A$593,0),MATCH("Total Unrestricted Revenue Gains and Other Support",'Prior Year Data Pull'!$A$1:$CB$1,0)),"")</f>
        <v>7319227</v>
      </c>
      <c r="S70" s="38">
        <f>IFERROR(INDEX('Prior Year TS Data Pull'!$K$2:$K$607,MATCH(C70,'Prior Year TS Data Pull'!$A$2:$A$607,0))+INDEX('Prior Year TS Data Pull'!$O$2:$O$119,MATCH(C70,'Prior Year TS Data Pull'!$A$2:$A$607,0))+INDEX('Prior Year TS Data Pull'!$S$2:$S$119,MATCH(C70,'Prior Year TS Data Pull'!$A$2:$A$607,0)),"")</f>
        <v>0</v>
      </c>
      <c r="T70" s="38">
        <f>IF(INDEX('Prior Year TS Data Pull'!$A$1:$O$607,MATCH(C70,'Prior Year TS Data Pull'!$A$1:$A$607,0),MATCH("Temporary RN Staffing:
Line Reported on in Standardized Financials",'Prior Year TS Data Pull'!$A$1:$O$1,0))="66.1: Salary and Benefit Expense",'Prior Year Data Table'!$AV70-'Prior Year Data Table'!$S70,0)</f>
        <v>0</v>
      </c>
      <c r="U70" s="38">
        <f>IFERROR(INDEX('Prior Year Data Pull'!$A$2:$CB$593,MATCH(C70,'Prior Year Data Pull'!$A$2:$A$593,0),MATCH("Total Expenses Including Nonrecurring Gains Losses",'Prior Year Data Pull'!$A$1:$CB$1,0)),"")</f>
        <v>13370589</v>
      </c>
      <c r="V70" s="41">
        <f t="shared" si="18"/>
        <v>0</v>
      </c>
      <c r="W70" s="41">
        <f t="shared" si="19"/>
        <v>0</v>
      </c>
      <c r="X70" s="41">
        <f t="shared" si="20"/>
        <v>0</v>
      </c>
      <c r="Y70" s="37" t="str">
        <f t="shared" si="21"/>
        <v/>
      </c>
      <c r="Z70" s="41">
        <f t="shared" si="22"/>
        <v>0</v>
      </c>
      <c r="AA70" s="39" t="str">
        <f t="shared" si="23"/>
        <v/>
      </c>
      <c r="AB70" s="37" t="str">
        <f t="shared" si="24"/>
        <v/>
      </c>
      <c r="AC70" s="37" t="str">
        <f t="shared" si="25"/>
        <v/>
      </c>
      <c r="AD70" s="38">
        <f>IFERROR(INDEX('Prior Year Data Pull'!$A$2:$CB$593,MATCH(C70,'Prior Year Data Pull'!$A$2:$A$593,0),MATCH("Net Patient Service Revenue",'Prior Year Data Pull'!$A$1:$CB$1,0)),"")</f>
        <v>5654232</v>
      </c>
      <c r="AE70" s="38">
        <f>IFERROR(INDEX('Prior Year Data Pull'!$A$2:$CB$593,MATCH(C70,'Prior Year Data Pull'!$A$2:$A$593,0),MATCH("Total Current Assets",'Prior Year Data Pull'!$A$1:$CB$1,0)),"")</f>
        <v>0</v>
      </c>
      <c r="AF70" s="38">
        <f>IFERROR(INDEX('Prior Year Data Pull'!$A$2:$CB$593,MATCH(C70,'Prior Year Data Pull'!$A$2:$A$593,0),MATCH("Total Current Liabilities",'Prior Year Data Pull'!$A$1:$CB$1,0)),"")</f>
        <v>0</v>
      </c>
      <c r="AG70" s="38">
        <f>IFERROR(INDEX('Prior Year Data Pull'!$A$2:$CB$593,MATCH(C70,'Prior Year Data Pull'!$A$2:$A$593,0),MATCH("Total Non Operating Revenue",'Prior Year Data Pull'!$A$1:$CB$1,0)),"")</f>
        <v>0</v>
      </c>
      <c r="AH70" s="38">
        <f>IFERROR(INDEX('Prior Year Data Pull'!$A$2:$CB$593,MATCH(C70,'Prior Year Data Pull'!$A$2:$A$593,0),MATCH("Less Accumulated Depreciation",'Prior Year Data Pull'!$A$1:$CB$1,0)),"")</f>
        <v>0</v>
      </c>
      <c r="AI70" s="38">
        <f>IFERROR(INDEX('Prior Year Data Pull'!$A$2:$CB$593,MATCH(C70,'Prior Year Data Pull'!$A$2:$A$593,0),MATCH("Depreciation and Amortization Expense",'Prior Year Data Pull'!$A$1:$CB$1,0)),"")</f>
        <v>48014</v>
      </c>
      <c r="AJ70" s="38">
        <f>IFERROR(INDEX('Prior Year Data Pull'!$A$2:$CB$593,MATCH(C70,'Prior Year Data Pull'!$A$2:$A$593,0),MATCH("Net Patient Accounts Receivable",'Prior Year Data Pull'!$A$1:$CB$1,0)),"")</f>
        <v>0</v>
      </c>
      <c r="AK70" s="14">
        <v>365</v>
      </c>
      <c r="AL70" s="38">
        <f>IFERROR(INDEX('Prior Year Data Pull'!$A$2:$CB$593,MATCH(C70,'Prior Year Data Pull'!$A$2:$A$593,0),MATCH("Estimated Third Party Settlements",'Prior Year Data Pull'!$A$1:$CB$1,0)),"")</f>
        <v>0</v>
      </c>
      <c r="AM70" s="38">
        <f>IFERROR(INDEX('Prior Year Data Pull'!$A$2:$CB$593,MATCH(C70,'Prior Year Data Pull'!$A$2:$A$593,0),MATCH("Current Liabilities due to Affiliates",'Prior Year Data Pull'!$A$1:$CB$1,0)),"")</f>
        <v>0</v>
      </c>
      <c r="AN70" s="38">
        <f>IFERROR(INDEX('Prior Year Data Pull'!$A$2:$CB$593,MATCH(C70,'Prior Year Data Pull'!$A$2:$A$593,0),MATCH("Short Term Investments",'Prior Year Data Pull'!$A$1:$CB$1,0)),"")</f>
        <v>0</v>
      </c>
      <c r="AO70" s="38">
        <f>IFERROR(INDEX('Prior Year Data Pull'!$A$2:$CB$593,MATCH(C70,'Prior Year Data Pull'!$A$2:$A$593,0),MATCH("Cash and Cash Equivalents",'Prior Year Data Pull'!$A$1:$CB$1,0)),"")</f>
        <v>0</v>
      </c>
      <c r="AP70" s="38">
        <f>IFERROR(INDEX('Prior Year Data Pull'!$A$2:$CB$593,MATCH(C70,'Prior Year Data Pull'!$A$2:$A$593,0),MATCH("Interest Expense",'Prior Year Data Pull'!$A$1:$CB$1,0)),"")</f>
        <v>0</v>
      </c>
      <c r="AQ70" s="38">
        <f>IFERROR(INDEX('Prior Year Data Pull'!$A$2:$CB$593,MATCH(C70,'Prior Year Data Pull'!$A$2:$A$593,0),MATCH("Long Term Debt Net of Current Portion",'Prior Year Data Pull'!$A$1:$CB$1,0)),"")</f>
        <v>0</v>
      </c>
      <c r="AR70" s="38">
        <f>IFERROR(INDEX('Prior Year Data Pull'!$A$2:$CB$593,MATCH(C70,'Prior Year Data Pull'!$A$2:$A$593,0),MATCH("Total Assets",'Prior Year Data Pull'!$A$1:$CB$1,0)),"")</f>
        <v>0</v>
      </c>
      <c r="AS70" s="38">
        <f>IFERROR(INDEX('Prior Year Data Pull'!$A$2:$CB$593,MATCH(C70,'Prior Year Data Pull'!$A$2:$A$593,0),MATCH("Long Term Debt Net of Current Portion",'Prior Year Data Pull'!$A$1:$CB$1,0)),"")</f>
        <v>0</v>
      </c>
      <c r="AT70" s="38">
        <f>IFERROR(INDEX('Prior Year Data Pull'!$A$2:$CB$593,MATCH(C70,'Prior Year Data Pull'!$A$2:$A$593,0),MATCH("Net Unrestricted Assets",'Prior Year Data Pull'!$A$1:$CB$1,0)),"")</f>
        <v>0</v>
      </c>
      <c r="AU70" s="38">
        <f>IFERROR(INDEX('Prior Year Data Pull'!$A$2:$CB$593,MATCH(C70,'Prior Year Data Pull'!$A$2:$A$593,0),MATCH("Unrealized Gains/Losses",'Prior Year Data Pull'!$A$1:$CB$1,0)),"")</f>
        <v>0</v>
      </c>
      <c r="AV70" s="38">
        <f>IFERROR(INDEX('Prior Year Data Pull'!$A$2:$CB$593,MATCH(C70,'Prior Year Data Pull'!$A$2:$A$593,0),MATCH("Salary and Benefit Expense",'Prior Year Data Pull'!$A$1:$CB$1,0)),"")</f>
        <v>15202435</v>
      </c>
    </row>
    <row r="71" spans="1:48" ht="34.200000000000003" x14ac:dyDescent="0.3">
      <c r="A71" s="46" t="str">
        <f>IFERROR(INDEX('Static Data Tab'!$N$2:$N$610,MATCH(D71,'Static Data Tab'!$D$2:$D$610,0)), "")</f>
        <v>Tufts Medicine</v>
      </c>
      <c r="B71" s="46" t="s">
        <v>196</v>
      </c>
      <c r="C71" s="46">
        <v>10991</v>
      </c>
      <c r="D71" s="46">
        <v>12775</v>
      </c>
      <c r="E71" s="46" t="str">
        <f>IFERROR(INDEX('Prior Year Data Pull'!$A$1:$CB$593,MATCH(C71,'Prior Year Data Pull'!$A$1:$A$593,0),MATCH("Organization Type",'Prior Year Data Pull'!$A$1:$CB$1,0)),"")</f>
        <v>PhysicianOrganization</v>
      </c>
      <c r="F71" s="46" t="str">
        <f>IFERROR(INDEX('Static Data Tab'!$E$2:$E$610,MATCH(C71,'Static Data Tab'!$B$2:$B$610,0)), "-")</f>
        <v>-</v>
      </c>
      <c r="G71" s="46" t="str">
        <f>IFERROR(INDEX('Static Data Tab'!$J$2:$J$610,MATCH(C71,'Static Data Tab'!$B$2:$B$610,0)), "")</f>
        <v/>
      </c>
      <c r="H71" s="46" t="str">
        <f>IFERROR(INDEX('Static Data Tab'!$F$2:$F$610,MATCH(C71,'Static Data Tab'!$B$2:$B$610,0)), "")</f>
        <v/>
      </c>
      <c r="I71" s="46" t="str">
        <f>IFERROR(INDEX('Static Data Tab'!$G$2:$G$610,MATCH(C71,'Static Data Tab'!$B$2:$B$610,0)), "")</f>
        <v/>
      </c>
      <c r="J71" s="46" t="str">
        <f>IFERROR(INDEX('Prior Year Data Pull'!$A$2:$CB$593,MATCH(C71,'Prior Year Data Pull'!$A$2:$A$593,0),MATCH("Quarter Range",'Prior Year Data Pull'!$A$1:$CB$1,0)),"")</f>
        <v xml:space="preserve">10/01/2024-09/30/2025
</v>
      </c>
      <c r="K71" s="45">
        <f t="shared" si="13"/>
        <v>-0.22114380049286619</v>
      </c>
      <c r="L71" s="45">
        <f t="shared" si="14"/>
        <v>0</v>
      </c>
      <c r="M71" s="45">
        <f t="shared" si="15"/>
        <v>-0.22114380049286619</v>
      </c>
      <c r="N71" s="47">
        <f t="shared" si="16"/>
        <v>-83187000</v>
      </c>
      <c r="O71" s="265" t="str">
        <f t="shared" si="17"/>
        <v/>
      </c>
      <c r="P71" s="47">
        <f>IFERROR(INDEX('Prior Year Data Pull'!$A$2:$CB$593,MATCH('Prior Year Data Table'!$C71,'Prior Year Data Pull'!$A$2:$A$593,0),MATCH("Total Net Assets or Equity",'Prior Year Data Pull'!$A$1:$CB$1,0)),"")</f>
        <v>0</v>
      </c>
      <c r="Q71" s="47">
        <f>IFERROR(INDEX('Prior Year Data Pull'!$A$2:$CB$593,MATCH('Prior Year Data Table'!$C71,'Prior Year Data Pull'!$A$2:$A$593,0),MATCH("Total Operating Revenue",'Prior Year Data Pull'!$A$1:$CB$1,0)),"")</f>
        <v>376167000</v>
      </c>
      <c r="R71" s="47">
        <f>IFERROR(INDEX('Prior Year Data Pull'!$A$2:$CB$593,MATCH('Prior Year Data Table'!$C71,'Prior Year Data Pull'!$A$2:$A$593,0),MATCH("Total Unrestricted Revenue Gains and Other Support",'Prior Year Data Pull'!$A$1:$CB$1,0)),"")</f>
        <v>376167000</v>
      </c>
      <c r="S71" s="47" t="str">
        <f>IFERROR(INDEX('Prior Year TS Data Pull'!$K$2:$K$607,MATCH(C71,'Prior Year TS Data Pull'!$A$2:$A$607,0))+INDEX('Prior Year TS Data Pull'!$O$2:$O$119,MATCH(C71,'Prior Year TS Data Pull'!$A$2:$A$607,0))+INDEX('Prior Year TS Data Pull'!$S$2:$S$119,MATCH(C71,'Prior Year TS Data Pull'!$A$2:$A$607,0)),"")</f>
        <v/>
      </c>
      <c r="T71" s="47" t="e">
        <f>IF(INDEX('Prior Year TS Data Pull'!$A$1:$O$607,MATCH(C71,'Prior Year TS Data Pull'!$A$1:$A$607,0),MATCH("Temporary RN Staffing:
Line Reported on in Standardized Financials",'Prior Year TS Data Pull'!$A$1:$O$1,0))="66.1: Salary and Benefit Expense",'Prior Year Data Table'!$AV71-'Prior Year Data Table'!$S71,0)</f>
        <v>#N/A</v>
      </c>
      <c r="U71" s="47">
        <f>IFERROR(INDEX('Prior Year Data Pull'!$A$2:$CB$593,MATCH(C71,'Prior Year Data Pull'!$A$2:$A$593,0),MATCH("Total Expenses Including Nonrecurring Gains Losses",'Prior Year Data Pull'!$A$1:$CB$1,0)),"")</f>
        <v>459354000</v>
      </c>
      <c r="V71" s="266">
        <f t="shared" si="18"/>
        <v>0</v>
      </c>
      <c r="W71" s="266">
        <f t="shared" si="19"/>
        <v>0</v>
      </c>
      <c r="X71" s="266">
        <f t="shared" si="20"/>
        <v>0</v>
      </c>
      <c r="Y71" s="45" t="str">
        <f t="shared" si="21"/>
        <v/>
      </c>
      <c r="Z71" s="266">
        <f t="shared" si="22"/>
        <v>0</v>
      </c>
      <c r="AA71" s="265" t="str">
        <f t="shared" si="23"/>
        <v/>
      </c>
      <c r="AB71" s="45" t="str">
        <f t="shared" si="24"/>
        <v/>
      </c>
      <c r="AC71" s="45" t="str">
        <f t="shared" si="25"/>
        <v/>
      </c>
      <c r="AD71" s="47">
        <f>IFERROR(INDEX('Prior Year Data Pull'!$A$2:$CB$593,MATCH(C71,'Prior Year Data Pull'!$A$2:$A$593,0),MATCH("Net Patient Service Revenue",'Prior Year Data Pull'!$A$1:$CB$1,0)),"")</f>
        <v>229049000</v>
      </c>
      <c r="AE71" s="47">
        <f>IFERROR(INDEX('Prior Year Data Pull'!$A$2:$CB$593,MATCH(C71,'Prior Year Data Pull'!$A$2:$A$593,0),MATCH("Total Current Assets",'Prior Year Data Pull'!$A$1:$CB$1,0)),"")</f>
        <v>0</v>
      </c>
      <c r="AF71" s="47">
        <f>IFERROR(INDEX('Prior Year Data Pull'!$A$2:$CB$593,MATCH(C71,'Prior Year Data Pull'!$A$2:$A$593,0),MATCH("Total Current Liabilities",'Prior Year Data Pull'!$A$1:$CB$1,0)),"")</f>
        <v>0</v>
      </c>
      <c r="AG71" s="47">
        <f>IFERROR(INDEX('Prior Year Data Pull'!$A$2:$CB$593,MATCH(C71,'Prior Year Data Pull'!$A$2:$A$593,0),MATCH("Total Non Operating Revenue",'Prior Year Data Pull'!$A$1:$CB$1,0)),"")</f>
        <v>0</v>
      </c>
      <c r="AH71" s="47">
        <f>IFERROR(INDEX('Prior Year Data Pull'!$A$2:$CB$593,MATCH(C71,'Prior Year Data Pull'!$A$2:$A$593,0),MATCH("Less Accumulated Depreciation",'Prior Year Data Pull'!$A$1:$CB$1,0)),"")</f>
        <v>0</v>
      </c>
      <c r="AI71" s="47">
        <f>IFERROR(INDEX('Prior Year Data Pull'!$A$2:$CB$593,MATCH(C71,'Prior Year Data Pull'!$A$2:$A$593,0),MATCH("Depreciation and Amortization Expense",'Prior Year Data Pull'!$A$1:$CB$1,0)),"")</f>
        <v>566000</v>
      </c>
      <c r="AJ71" s="47">
        <f>IFERROR(INDEX('Prior Year Data Pull'!$A$2:$CB$593,MATCH(C71,'Prior Year Data Pull'!$A$2:$A$593,0),MATCH("Net Patient Accounts Receivable",'Prior Year Data Pull'!$A$1:$CB$1,0)),"")</f>
        <v>0</v>
      </c>
      <c r="AK71" s="46">
        <v>365</v>
      </c>
      <c r="AL71" s="47">
        <f>IFERROR(INDEX('Prior Year Data Pull'!$A$2:$CB$593,MATCH(C71,'Prior Year Data Pull'!$A$2:$A$593,0),MATCH("Estimated Third Party Settlements",'Prior Year Data Pull'!$A$1:$CB$1,0)),"")</f>
        <v>0</v>
      </c>
      <c r="AM71" s="47">
        <f>IFERROR(INDEX('Prior Year Data Pull'!$A$2:$CB$593,MATCH(C71,'Prior Year Data Pull'!$A$2:$A$593,0),MATCH("Current Liabilities due to Affiliates",'Prior Year Data Pull'!$A$1:$CB$1,0)),"")</f>
        <v>0</v>
      </c>
      <c r="AN71" s="47">
        <f>IFERROR(INDEX('Prior Year Data Pull'!$A$2:$CB$593,MATCH(C71,'Prior Year Data Pull'!$A$2:$A$593,0),MATCH("Short Term Investments",'Prior Year Data Pull'!$A$1:$CB$1,0)),"")</f>
        <v>0</v>
      </c>
      <c r="AO71" s="47">
        <f>IFERROR(INDEX('Prior Year Data Pull'!$A$2:$CB$593,MATCH(C71,'Prior Year Data Pull'!$A$2:$A$593,0),MATCH("Cash and Cash Equivalents",'Prior Year Data Pull'!$A$1:$CB$1,0)),"")</f>
        <v>0</v>
      </c>
      <c r="AP71" s="47">
        <f>IFERROR(INDEX('Prior Year Data Pull'!$A$2:$CB$593,MATCH(C71,'Prior Year Data Pull'!$A$2:$A$593,0),MATCH("Interest Expense",'Prior Year Data Pull'!$A$1:$CB$1,0)),"")</f>
        <v>0</v>
      </c>
      <c r="AQ71" s="47">
        <f>IFERROR(INDEX('Prior Year Data Pull'!$A$2:$CB$593,MATCH(C71,'Prior Year Data Pull'!$A$2:$A$593,0),MATCH("Long Term Debt Net of Current Portion",'Prior Year Data Pull'!$A$1:$CB$1,0)),"")</f>
        <v>0</v>
      </c>
      <c r="AR71" s="47">
        <f>IFERROR(INDEX('Prior Year Data Pull'!$A$2:$CB$593,MATCH(C71,'Prior Year Data Pull'!$A$2:$A$593,0),MATCH("Total Assets",'Prior Year Data Pull'!$A$1:$CB$1,0)),"")</f>
        <v>0</v>
      </c>
      <c r="AS71" s="47">
        <f>IFERROR(INDEX('Prior Year Data Pull'!$A$2:$CB$593,MATCH(C71,'Prior Year Data Pull'!$A$2:$A$593,0),MATCH("Long Term Debt Net of Current Portion",'Prior Year Data Pull'!$A$1:$CB$1,0)),"")</f>
        <v>0</v>
      </c>
      <c r="AT71" s="47">
        <f>IFERROR(INDEX('Prior Year Data Pull'!$A$2:$CB$593,MATCH(C71,'Prior Year Data Pull'!$A$2:$A$593,0),MATCH("Net Unrestricted Assets",'Prior Year Data Pull'!$A$1:$CB$1,0)),"")</f>
        <v>0</v>
      </c>
      <c r="AU71" s="47">
        <f>IFERROR(INDEX('Prior Year Data Pull'!$A$2:$CB$593,MATCH(C71,'Prior Year Data Pull'!$A$2:$A$593,0),MATCH("Unrealized Gains/Losses",'Prior Year Data Pull'!$A$1:$CB$1,0)),"")</f>
        <v>0</v>
      </c>
      <c r="AV71" s="47">
        <f>IFERROR(INDEX('Prior Year Data Pull'!$A$2:$CB$593,MATCH(C71,'Prior Year Data Pull'!$A$2:$A$593,0),MATCH("Salary and Benefit Expense",'Prior Year Data Pull'!$A$1:$CB$1,0)),"")</f>
        <v>363083000</v>
      </c>
    </row>
    <row r="72" spans="1:48" ht="34.200000000000003" x14ac:dyDescent="0.3">
      <c r="A72" s="14" t="str">
        <f>IFERROR(INDEX('Static Data Tab'!$N$2:$N$610,MATCH(D72,'Static Data Tab'!$D$2:$D$610,0)), "")</f>
        <v>Mass General Brigham</v>
      </c>
      <c r="B72" s="14" t="s">
        <v>151</v>
      </c>
      <c r="C72" s="14">
        <v>10996</v>
      </c>
      <c r="D72" s="14">
        <v>3791</v>
      </c>
      <c r="E72" s="14" t="str">
        <f>IFERROR(INDEX('Prior Year Data Pull'!$A$1:$CB$593,MATCH(C72,'Prior Year Data Pull'!$A$1:$A$593,0),MATCH("Organization Type",'Prior Year Data Pull'!$A$1:$CB$1,0)),"")</f>
        <v>PhysicianOrganization</v>
      </c>
      <c r="F72" s="14" t="str">
        <f>IFERROR(INDEX('Static Data Tab'!$E$2:$E$610,MATCH(C72,'Static Data Tab'!$B$2:$B$610,0)), "-")</f>
        <v>-</v>
      </c>
      <c r="G72" s="14" t="str">
        <f>IFERROR(INDEX('Static Data Tab'!$J$2:$J$610,MATCH(C72,'Static Data Tab'!$B$2:$B$610,0)), "")</f>
        <v/>
      </c>
      <c r="H72" s="14" t="str">
        <f>IFERROR(INDEX('Static Data Tab'!$F$2:$F$610,MATCH(C72,'Static Data Tab'!$B$2:$B$610,0)), "")</f>
        <v/>
      </c>
      <c r="I72" s="14" t="str">
        <f>IFERROR(INDEX('Static Data Tab'!$G$2:$G$610,MATCH(C72,'Static Data Tab'!$B$2:$B$610,0)), "")</f>
        <v/>
      </c>
      <c r="J72" s="14" t="str">
        <f>IFERROR(INDEX('Prior Year Data Pull'!$A$2:$CB$593,MATCH(C72,'Prior Year Data Pull'!$A$2:$A$593,0),MATCH("Quarter Range",'Prior Year Data Pull'!$A$1:$CB$1,0)),"")</f>
        <v xml:space="preserve">10/01/2024-09/30/2025
</v>
      </c>
      <c r="K72" s="37">
        <f t="shared" si="13"/>
        <v>2.3200308203239789E-2</v>
      </c>
      <c r="L72" s="37">
        <f t="shared" si="14"/>
        <v>6.4040752567071466E-2</v>
      </c>
      <c r="M72" s="37">
        <f t="shared" si="15"/>
        <v>8.7241060770311255E-2</v>
      </c>
      <c r="N72" s="38">
        <f t="shared" si="16"/>
        <v>124095000</v>
      </c>
      <c r="O72" s="39" t="str">
        <f t="shared" si="17"/>
        <v/>
      </c>
      <c r="P72" s="38">
        <f>IFERROR(INDEX('Prior Year Data Pull'!$A$2:$CB$593,MATCH('Prior Year Data Table'!$C72,'Prior Year Data Pull'!$A$2:$A$593,0),MATCH("Total Net Assets or Equity",'Prior Year Data Pull'!$A$1:$CB$1,0)),"")</f>
        <v>0</v>
      </c>
      <c r="Q72" s="38">
        <f>IFERROR(INDEX('Prior Year Data Pull'!$A$2:$CB$593,MATCH('Prior Year Data Table'!$C72,'Prior Year Data Pull'!$A$2:$A$593,0),MATCH("Total Operating Revenue",'Prior Year Data Pull'!$A$1:$CB$1,0)),"")</f>
        <v>1331344000</v>
      </c>
      <c r="R72" s="38">
        <f>IFERROR(INDEX('Prior Year Data Pull'!$A$2:$CB$593,MATCH('Prior Year Data Table'!$C72,'Prior Year Data Pull'!$A$2:$A$593,0),MATCH("Total Unrestricted Revenue Gains and Other Support",'Prior Year Data Pull'!$A$1:$CB$1,0)),"")</f>
        <v>1422438000</v>
      </c>
      <c r="S72" s="38">
        <f>IFERROR(INDEX('Prior Year TS Data Pull'!$K$2:$K$607,MATCH(C72,'Prior Year TS Data Pull'!$A$2:$A$607,0))+INDEX('Prior Year TS Data Pull'!$O$2:$O$119,MATCH(C72,'Prior Year TS Data Pull'!$A$2:$A$607,0))+INDEX('Prior Year TS Data Pull'!$S$2:$S$119,MATCH(C72,'Prior Year TS Data Pull'!$A$2:$A$607,0)),"")</f>
        <v>1213540.8685940593</v>
      </c>
      <c r="T72" s="38">
        <f>IF(INDEX('Prior Year TS Data Pull'!$A$1:$O$607,MATCH(C72,'Prior Year TS Data Pull'!$A$1:$A$607,0),MATCH("Temporary RN Staffing:
Line Reported on in Standardized Financials",'Prior Year TS Data Pull'!$A$1:$O$1,0))="66.1: Salary and Benefit Expense",'Prior Year Data Table'!$AV72-'Prior Year Data Table'!$S72,0)</f>
        <v>0</v>
      </c>
      <c r="U72" s="38">
        <f>IFERROR(INDEX('Prior Year Data Pull'!$A$2:$CB$593,MATCH(C72,'Prior Year Data Pull'!$A$2:$A$593,0),MATCH("Total Expenses Including Nonrecurring Gains Losses",'Prior Year Data Pull'!$A$1:$CB$1,0)),"")</f>
        <v>1298343000</v>
      </c>
      <c r="V72" s="41">
        <f t="shared" si="18"/>
        <v>0</v>
      </c>
      <c r="W72" s="41">
        <f t="shared" si="19"/>
        <v>0</v>
      </c>
      <c r="X72" s="41">
        <f t="shared" si="20"/>
        <v>0</v>
      </c>
      <c r="Y72" s="37" t="str">
        <f t="shared" si="21"/>
        <v/>
      </c>
      <c r="Z72" s="41">
        <f t="shared" si="22"/>
        <v>0</v>
      </c>
      <c r="AA72" s="39">
        <f t="shared" si="23"/>
        <v>79.680772769089231</v>
      </c>
      <c r="AB72" s="37" t="str">
        <f t="shared" si="24"/>
        <v/>
      </c>
      <c r="AC72" s="37" t="str">
        <f t="shared" si="25"/>
        <v/>
      </c>
      <c r="AD72" s="38">
        <f>IFERROR(INDEX('Prior Year Data Pull'!$A$2:$CB$593,MATCH(C72,'Prior Year Data Pull'!$A$2:$A$593,0),MATCH("Net Patient Service Revenue",'Prior Year Data Pull'!$A$1:$CB$1,0)),"")</f>
        <v>955264000</v>
      </c>
      <c r="AE72" s="38">
        <f>IFERROR(INDEX('Prior Year Data Pull'!$A$2:$CB$593,MATCH(C72,'Prior Year Data Pull'!$A$2:$A$593,0),MATCH("Total Current Assets",'Prior Year Data Pull'!$A$1:$CB$1,0)),"")</f>
        <v>0</v>
      </c>
      <c r="AF72" s="38">
        <f>IFERROR(INDEX('Prior Year Data Pull'!$A$2:$CB$593,MATCH(C72,'Prior Year Data Pull'!$A$2:$A$593,0),MATCH("Total Current Liabilities",'Prior Year Data Pull'!$A$1:$CB$1,0)),"")</f>
        <v>0</v>
      </c>
      <c r="AG72" s="38">
        <f>IFERROR(INDEX('Prior Year Data Pull'!$A$2:$CB$593,MATCH(C72,'Prior Year Data Pull'!$A$2:$A$593,0),MATCH("Total Non Operating Revenue",'Prior Year Data Pull'!$A$1:$CB$1,0)),"")</f>
        <v>91094000</v>
      </c>
      <c r="AH72" s="38">
        <f>IFERROR(INDEX('Prior Year Data Pull'!$A$2:$CB$593,MATCH(C72,'Prior Year Data Pull'!$A$2:$A$593,0),MATCH("Less Accumulated Depreciation",'Prior Year Data Pull'!$A$1:$CB$1,0)),"")</f>
        <v>0</v>
      </c>
      <c r="AI72" s="38">
        <f>IFERROR(INDEX('Prior Year Data Pull'!$A$2:$CB$593,MATCH(C72,'Prior Year Data Pull'!$A$2:$A$593,0),MATCH("Depreciation and Amortization Expense",'Prior Year Data Pull'!$A$1:$CB$1,0)),"")</f>
        <v>7213000</v>
      </c>
      <c r="AJ72" s="38">
        <f>IFERROR(INDEX('Prior Year Data Pull'!$A$2:$CB$593,MATCH(C72,'Prior Year Data Pull'!$A$2:$A$593,0),MATCH("Net Patient Accounts Receivable",'Prior Year Data Pull'!$A$1:$CB$1,0)),"")</f>
        <v>0</v>
      </c>
      <c r="AK72" s="14">
        <v>365</v>
      </c>
      <c r="AL72" s="38">
        <f>IFERROR(INDEX('Prior Year Data Pull'!$A$2:$CB$593,MATCH(C72,'Prior Year Data Pull'!$A$2:$A$593,0),MATCH("Estimated Third Party Settlements",'Prior Year Data Pull'!$A$1:$CB$1,0)),"")</f>
        <v>0</v>
      </c>
      <c r="AM72" s="38">
        <f>IFERROR(INDEX('Prior Year Data Pull'!$A$2:$CB$593,MATCH(C72,'Prior Year Data Pull'!$A$2:$A$593,0),MATCH("Current Liabilities due to Affiliates",'Prior Year Data Pull'!$A$1:$CB$1,0)),"")</f>
        <v>0</v>
      </c>
      <c r="AN72" s="38">
        <f>IFERROR(INDEX('Prior Year Data Pull'!$A$2:$CB$593,MATCH(C72,'Prior Year Data Pull'!$A$2:$A$593,0),MATCH("Short Term Investments",'Prior Year Data Pull'!$A$1:$CB$1,0)),"")</f>
        <v>0</v>
      </c>
      <c r="AO72" s="38">
        <f>IFERROR(INDEX('Prior Year Data Pull'!$A$2:$CB$593,MATCH(C72,'Prior Year Data Pull'!$A$2:$A$593,0),MATCH("Cash and Cash Equivalents",'Prior Year Data Pull'!$A$1:$CB$1,0)),"")</f>
        <v>0</v>
      </c>
      <c r="AP72" s="38">
        <f>IFERROR(INDEX('Prior Year Data Pull'!$A$2:$CB$593,MATCH(C72,'Prior Year Data Pull'!$A$2:$A$593,0),MATCH("Interest Expense",'Prior Year Data Pull'!$A$1:$CB$1,0)),"")</f>
        <v>1087000</v>
      </c>
      <c r="AQ72" s="38">
        <f>IFERROR(INDEX('Prior Year Data Pull'!$A$2:$CB$593,MATCH(C72,'Prior Year Data Pull'!$A$2:$A$593,0),MATCH("Long Term Debt Net of Current Portion",'Prior Year Data Pull'!$A$1:$CB$1,0)),"")</f>
        <v>0</v>
      </c>
      <c r="AR72" s="38">
        <f>IFERROR(INDEX('Prior Year Data Pull'!$A$2:$CB$593,MATCH(C72,'Prior Year Data Pull'!$A$2:$A$593,0),MATCH("Total Assets",'Prior Year Data Pull'!$A$1:$CB$1,0)),"")</f>
        <v>0</v>
      </c>
      <c r="AS72" s="38">
        <f>IFERROR(INDEX('Prior Year Data Pull'!$A$2:$CB$593,MATCH(C72,'Prior Year Data Pull'!$A$2:$A$593,0),MATCH("Long Term Debt Net of Current Portion",'Prior Year Data Pull'!$A$1:$CB$1,0)),"")</f>
        <v>0</v>
      </c>
      <c r="AT72" s="38">
        <f>IFERROR(INDEX('Prior Year Data Pull'!$A$2:$CB$593,MATCH(C72,'Prior Year Data Pull'!$A$2:$A$593,0),MATCH("Net Unrestricted Assets",'Prior Year Data Pull'!$A$1:$CB$1,0)),"")</f>
        <v>0</v>
      </c>
      <c r="AU72" s="38">
        <f>IFERROR(INDEX('Prior Year Data Pull'!$A$2:$CB$593,MATCH(C72,'Prior Year Data Pull'!$A$2:$A$593,0),MATCH("Unrealized Gains/Losses",'Prior Year Data Pull'!$A$1:$CB$1,0)),"")</f>
        <v>45782000</v>
      </c>
      <c r="AV72" s="38">
        <f>IFERROR(INDEX('Prior Year Data Pull'!$A$2:$CB$593,MATCH(C72,'Prior Year Data Pull'!$A$2:$A$593,0),MATCH("Salary and Benefit Expense",'Prior Year Data Pull'!$A$1:$CB$1,0)),"")</f>
        <v>1082682000</v>
      </c>
    </row>
    <row r="73" spans="1:48" ht="34.200000000000003" x14ac:dyDescent="0.3">
      <c r="A73" s="46" t="str">
        <f>IFERROR(INDEX('Static Data Tab'!$N$2:$N$610,MATCH(D73,'Static Data Tab'!$D$2:$D$610,0)), "")</f>
        <v>Mass General Brigham</v>
      </c>
      <c r="B73" s="46" t="s">
        <v>154</v>
      </c>
      <c r="C73" s="46">
        <v>11002</v>
      </c>
      <c r="D73" s="46">
        <v>3791</v>
      </c>
      <c r="E73" s="46" t="str">
        <f>IFERROR(INDEX('Prior Year Data Pull'!$A$1:$CB$593,MATCH(C73,'Prior Year Data Pull'!$A$1:$A$593,0),MATCH("Organization Type",'Prior Year Data Pull'!$A$1:$CB$1,0)),"")</f>
        <v>PhysicianOrganization</v>
      </c>
      <c r="F73" s="46" t="str">
        <f>IFERROR(INDEX('Static Data Tab'!$E$2:$E$610,MATCH(C73,'Static Data Tab'!$B$2:$B$610,0)), "-")</f>
        <v>-</v>
      </c>
      <c r="G73" s="46" t="str">
        <f>IFERROR(INDEX('Static Data Tab'!$J$2:$J$610,MATCH(C73,'Static Data Tab'!$B$2:$B$610,0)), "")</f>
        <v/>
      </c>
      <c r="H73" s="46" t="str">
        <f>IFERROR(INDEX('Static Data Tab'!$F$2:$F$610,MATCH(C73,'Static Data Tab'!$B$2:$B$610,0)), "")</f>
        <v/>
      </c>
      <c r="I73" s="46" t="str">
        <f>IFERROR(INDEX('Static Data Tab'!$G$2:$G$610,MATCH(C73,'Static Data Tab'!$B$2:$B$610,0)), "")</f>
        <v/>
      </c>
      <c r="J73" s="46" t="str">
        <f>IFERROR(INDEX('Prior Year Data Pull'!$A$2:$CB$593,MATCH(C73,'Prior Year Data Pull'!$A$2:$A$593,0),MATCH("Quarter Range",'Prior Year Data Pull'!$A$1:$CB$1,0)),"")</f>
        <v xml:space="preserve">10/01/2024-09/30/2025
</v>
      </c>
      <c r="K73" s="45">
        <f t="shared" si="13"/>
        <v>1.4259717318331235E-2</v>
      </c>
      <c r="L73" s="45">
        <f t="shared" si="14"/>
        <v>6.8635257108919684E-2</v>
      </c>
      <c r="M73" s="45">
        <f t="shared" si="15"/>
        <v>8.2894974427250911E-2</v>
      </c>
      <c r="N73" s="47">
        <f t="shared" si="16"/>
        <v>152417000</v>
      </c>
      <c r="O73" s="265" t="str">
        <f t="shared" si="17"/>
        <v/>
      </c>
      <c r="P73" s="47">
        <f>IFERROR(INDEX('Prior Year Data Pull'!$A$2:$CB$593,MATCH('Prior Year Data Table'!$C73,'Prior Year Data Pull'!$A$2:$A$593,0),MATCH("Total Net Assets or Equity",'Prior Year Data Pull'!$A$1:$CB$1,0)),"")</f>
        <v>0</v>
      </c>
      <c r="Q73" s="47">
        <f>IFERROR(INDEX('Prior Year Data Pull'!$A$2:$CB$593,MATCH('Prior Year Data Table'!$C73,'Prior Year Data Pull'!$A$2:$A$593,0),MATCH("Total Operating Revenue",'Prior Year Data Pull'!$A$1:$CB$1,0)),"")</f>
        <v>1712478000</v>
      </c>
      <c r="R73" s="47">
        <f>IFERROR(INDEX('Prior Year Data Pull'!$A$2:$CB$593,MATCH('Prior Year Data Table'!$C73,'Prior Year Data Pull'!$A$2:$A$593,0),MATCH("Total Unrestricted Revenue Gains and Other Support",'Prior Year Data Pull'!$A$1:$CB$1,0)),"")</f>
        <v>1838676000</v>
      </c>
      <c r="S73" s="47">
        <f>IFERROR(INDEX('Prior Year TS Data Pull'!$K$2:$K$607,MATCH(C73,'Prior Year TS Data Pull'!$A$2:$A$607,0))+INDEX('Prior Year TS Data Pull'!$O$2:$O$119,MATCH(C73,'Prior Year TS Data Pull'!$A$2:$A$607,0))+INDEX('Prior Year TS Data Pull'!$S$2:$S$119,MATCH(C73,'Prior Year TS Data Pull'!$A$2:$A$607,0)),"")</f>
        <v>1414508.57</v>
      </c>
      <c r="T73" s="47">
        <f>IF(INDEX('Prior Year TS Data Pull'!$A$1:$O$607,MATCH(C73,'Prior Year TS Data Pull'!$A$1:$A$607,0),MATCH("Temporary RN Staffing:
Line Reported on in Standardized Financials",'Prior Year TS Data Pull'!$A$1:$O$1,0))="66.1: Salary and Benefit Expense",'Prior Year Data Table'!$AV73-'Prior Year Data Table'!$S73,0)</f>
        <v>0</v>
      </c>
      <c r="U73" s="47">
        <f>IFERROR(INDEX('Prior Year Data Pull'!$A$2:$CB$593,MATCH(C73,'Prior Year Data Pull'!$A$2:$A$593,0),MATCH("Total Expenses Including Nonrecurring Gains Losses",'Prior Year Data Pull'!$A$1:$CB$1,0)),"")</f>
        <v>1686259000</v>
      </c>
      <c r="V73" s="266">
        <f t="shared" si="18"/>
        <v>0</v>
      </c>
      <c r="W73" s="266">
        <f t="shared" si="19"/>
        <v>0</v>
      </c>
      <c r="X73" s="266">
        <f t="shared" si="20"/>
        <v>0</v>
      </c>
      <c r="Y73" s="45" t="str">
        <f t="shared" si="21"/>
        <v/>
      </c>
      <c r="Z73" s="266">
        <f t="shared" si="22"/>
        <v>0</v>
      </c>
      <c r="AA73" s="265">
        <f t="shared" si="23"/>
        <v>79.538078291814941</v>
      </c>
      <c r="AB73" s="45" t="str">
        <f t="shared" si="24"/>
        <v/>
      </c>
      <c r="AC73" s="45" t="str">
        <f t="shared" si="25"/>
        <v/>
      </c>
      <c r="AD73" s="47">
        <f>IFERROR(INDEX('Prior Year Data Pull'!$A$2:$CB$593,MATCH(C73,'Prior Year Data Pull'!$A$2:$A$593,0),MATCH("Net Patient Service Revenue",'Prior Year Data Pull'!$A$1:$CB$1,0)),"")</f>
        <v>1136688000</v>
      </c>
      <c r="AE73" s="47">
        <f>IFERROR(INDEX('Prior Year Data Pull'!$A$2:$CB$593,MATCH(C73,'Prior Year Data Pull'!$A$2:$A$593,0),MATCH("Total Current Assets",'Prior Year Data Pull'!$A$1:$CB$1,0)),"")</f>
        <v>0</v>
      </c>
      <c r="AF73" s="47">
        <f>IFERROR(INDEX('Prior Year Data Pull'!$A$2:$CB$593,MATCH(C73,'Prior Year Data Pull'!$A$2:$A$593,0),MATCH("Total Current Liabilities",'Prior Year Data Pull'!$A$1:$CB$1,0)),"")</f>
        <v>0</v>
      </c>
      <c r="AG73" s="47">
        <f>IFERROR(INDEX('Prior Year Data Pull'!$A$2:$CB$593,MATCH(C73,'Prior Year Data Pull'!$A$2:$A$593,0),MATCH("Total Non Operating Revenue",'Prior Year Data Pull'!$A$1:$CB$1,0)),"")</f>
        <v>126198000</v>
      </c>
      <c r="AH73" s="47">
        <f>IFERROR(INDEX('Prior Year Data Pull'!$A$2:$CB$593,MATCH(C73,'Prior Year Data Pull'!$A$2:$A$593,0),MATCH("Less Accumulated Depreciation",'Prior Year Data Pull'!$A$1:$CB$1,0)),"")</f>
        <v>0</v>
      </c>
      <c r="AI73" s="47">
        <f>IFERROR(INDEX('Prior Year Data Pull'!$A$2:$CB$593,MATCH(C73,'Prior Year Data Pull'!$A$2:$A$593,0),MATCH("Depreciation and Amortization Expense",'Prior Year Data Pull'!$A$1:$CB$1,0)),"")</f>
        <v>19795000</v>
      </c>
      <c r="AJ73" s="47">
        <f>IFERROR(INDEX('Prior Year Data Pull'!$A$2:$CB$593,MATCH(C73,'Prior Year Data Pull'!$A$2:$A$593,0),MATCH("Net Patient Accounts Receivable",'Prior Year Data Pull'!$A$1:$CB$1,0)),"")</f>
        <v>0</v>
      </c>
      <c r="AK73" s="46">
        <v>365</v>
      </c>
      <c r="AL73" s="47">
        <f>IFERROR(INDEX('Prior Year Data Pull'!$A$2:$CB$593,MATCH(C73,'Prior Year Data Pull'!$A$2:$A$593,0),MATCH("Estimated Third Party Settlements",'Prior Year Data Pull'!$A$1:$CB$1,0)),"")</f>
        <v>0</v>
      </c>
      <c r="AM73" s="47">
        <f>IFERROR(INDEX('Prior Year Data Pull'!$A$2:$CB$593,MATCH(C73,'Prior Year Data Pull'!$A$2:$A$593,0),MATCH("Current Liabilities due to Affiliates",'Prior Year Data Pull'!$A$1:$CB$1,0)),"")</f>
        <v>0</v>
      </c>
      <c r="AN73" s="47">
        <f>IFERROR(INDEX('Prior Year Data Pull'!$A$2:$CB$593,MATCH(C73,'Prior Year Data Pull'!$A$2:$A$593,0),MATCH("Short Term Investments",'Prior Year Data Pull'!$A$1:$CB$1,0)),"")</f>
        <v>0</v>
      </c>
      <c r="AO73" s="47">
        <f>IFERROR(INDEX('Prior Year Data Pull'!$A$2:$CB$593,MATCH(C73,'Prior Year Data Pull'!$A$2:$A$593,0),MATCH("Cash and Cash Equivalents",'Prior Year Data Pull'!$A$1:$CB$1,0)),"")</f>
        <v>0</v>
      </c>
      <c r="AP73" s="47">
        <f>IFERROR(INDEX('Prior Year Data Pull'!$A$2:$CB$593,MATCH(C73,'Prior Year Data Pull'!$A$2:$A$593,0),MATCH("Interest Expense",'Prior Year Data Pull'!$A$1:$CB$1,0)),"")</f>
        <v>1405000</v>
      </c>
      <c r="AQ73" s="47">
        <f>IFERROR(INDEX('Prior Year Data Pull'!$A$2:$CB$593,MATCH(C73,'Prior Year Data Pull'!$A$2:$A$593,0),MATCH("Long Term Debt Net of Current Portion",'Prior Year Data Pull'!$A$1:$CB$1,0)),"")</f>
        <v>0</v>
      </c>
      <c r="AR73" s="47">
        <f>IFERROR(INDEX('Prior Year Data Pull'!$A$2:$CB$593,MATCH(C73,'Prior Year Data Pull'!$A$2:$A$593,0),MATCH("Total Assets",'Prior Year Data Pull'!$A$1:$CB$1,0)),"")</f>
        <v>0</v>
      </c>
      <c r="AS73" s="47">
        <f>IFERROR(INDEX('Prior Year Data Pull'!$A$2:$CB$593,MATCH(C73,'Prior Year Data Pull'!$A$2:$A$593,0),MATCH("Long Term Debt Net of Current Portion",'Prior Year Data Pull'!$A$1:$CB$1,0)),"")</f>
        <v>0</v>
      </c>
      <c r="AT73" s="47">
        <f>IFERROR(INDEX('Prior Year Data Pull'!$A$2:$CB$593,MATCH(C73,'Prior Year Data Pull'!$A$2:$A$593,0),MATCH("Net Unrestricted Assets",'Prior Year Data Pull'!$A$1:$CB$1,0)),"")</f>
        <v>0</v>
      </c>
      <c r="AU73" s="47">
        <f>IFERROR(INDEX('Prior Year Data Pull'!$A$2:$CB$593,MATCH(C73,'Prior Year Data Pull'!$A$2:$A$593,0),MATCH("Unrealized Gains/Losses",'Prior Year Data Pull'!$A$1:$CB$1,0)),"")</f>
        <v>61866000</v>
      </c>
      <c r="AV73" s="47">
        <f>IFERROR(INDEX('Prior Year Data Pull'!$A$2:$CB$593,MATCH(C73,'Prior Year Data Pull'!$A$2:$A$593,0),MATCH("Salary and Benefit Expense",'Prior Year Data Pull'!$A$1:$CB$1,0)),"")</f>
        <v>1397318000</v>
      </c>
    </row>
    <row r="74" spans="1:48" ht="34.200000000000003" x14ac:dyDescent="0.3">
      <c r="A74" s="14" t="str">
        <f>IFERROR(INDEX('Static Data Tab'!$N$2:$N$610,MATCH(D74,'Static Data Tab'!$D$2:$D$610,0)), "")</f>
        <v>Mass General Brigham</v>
      </c>
      <c r="B74" s="14" t="s">
        <v>157</v>
      </c>
      <c r="C74" s="14">
        <v>11004</v>
      </c>
      <c r="D74" s="14">
        <v>3791</v>
      </c>
      <c r="E74" s="14" t="str">
        <f>IFERROR(INDEX('Prior Year Data Pull'!$A$1:$CB$593,MATCH(C74,'Prior Year Data Pull'!$A$1:$A$593,0),MATCH("Organization Type",'Prior Year Data Pull'!$A$1:$CB$1,0)),"")</f>
        <v>PhysicianOrganization</v>
      </c>
      <c r="F74" s="14" t="str">
        <f>IFERROR(INDEX('Static Data Tab'!$E$2:$E$610,MATCH(C74,'Static Data Tab'!$B$2:$B$610,0)), "-")</f>
        <v>-</v>
      </c>
      <c r="G74" s="14" t="str">
        <f>IFERROR(INDEX('Static Data Tab'!$J$2:$J$610,MATCH(C74,'Static Data Tab'!$B$2:$B$610,0)), "")</f>
        <v/>
      </c>
      <c r="H74" s="14" t="str">
        <f>IFERROR(INDEX('Static Data Tab'!$F$2:$F$610,MATCH(C74,'Static Data Tab'!$B$2:$B$610,0)), "")</f>
        <v/>
      </c>
      <c r="I74" s="14" t="str">
        <f>IFERROR(INDEX('Static Data Tab'!$G$2:$G$610,MATCH(C74,'Static Data Tab'!$B$2:$B$610,0)), "")</f>
        <v/>
      </c>
      <c r="J74" s="14" t="str">
        <f>IFERROR(INDEX('Prior Year Data Pull'!$A$2:$CB$593,MATCH(C74,'Prior Year Data Pull'!$A$2:$A$593,0),MATCH("Quarter Range",'Prior Year Data Pull'!$A$1:$CB$1,0)),"")</f>
        <v xml:space="preserve">10/01/2024-09/30/2025
</v>
      </c>
      <c r="K74" s="37">
        <f t="shared" si="13"/>
        <v>-8.2497865794563655E-2</v>
      </c>
      <c r="L74" s="37">
        <f t="shared" si="14"/>
        <v>-1.9053196359272349E-3</v>
      </c>
      <c r="M74" s="37">
        <f t="shared" si="15"/>
        <v>-8.4403185430490885E-2</v>
      </c>
      <c r="N74" s="38">
        <f t="shared" si="16"/>
        <v>-20466000</v>
      </c>
      <c r="O74" s="39" t="str">
        <f t="shared" si="17"/>
        <v/>
      </c>
      <c r="P74" s="38">
        <f>IFERROR(INDEX('Prior Year Data Pull'!$A$2:$CB$593,MATCH('Prior Year Data Table'!$C74,'Prior Year Data Pull'!$A$2:$A$593,0),MATCH("Total Net Assets or Equity",'Prior Year Data Pull'!$A$1:$CB$1,0)),"")</f>
        <v>0</v>
      </c>
      <c r="Q74" s="38">
        <f>IFERROR(INDEX('Prior Year Data Pull'!$A$2:$CB$593,MATCH('Prior Year Data Table'!$C74,'Prior Year Data Pull'!$A$2:$A$593,0),MATCH("Total Operating Revenue",'Prior Year Data Pull'!$A$1:$CB$1,0)),"")</f>
        <v>242941000</v>
      </c>
      <c r="R74" s="38">
        <f>IFERROR(INDEX('Prior Year Data Pull'!$A$2:$CB$593,MATCH('Prior Year Data Table'!$C74,'Prior Year Data Pull'!$A$2:$A$593,0),MATCH("Total Unrestricted Revenue Gains and Other Support",'Prior Year Data Pull'!$A$1:$CB$1,0)),"")</f>
        <v>242479000</v>
      </c>
      <c r="S74" s="38">
        <f>IFERROR(INDEX('Prior Year TS Data Pull'!$K$2:$K$607,MATCH(C74,'Prior Year TS Data Pull'!$A$2:$A$607,0))+INDEX('Prior Year TS Data Pull'!$O$2:$O$119,MATCH(C74,'Prior Year TS Data Pull'!$A$2:$A$607,0))+INDEX('Prior Year TS Data Pull'!$S$2:$S$119,MATCH(C74,'Prior Year TS Data Pull'!$A$2:$A$607,0)),"")</f>
        <v>3808986.5984</v>
      </c>
      <c r="T74" s="38">
        <f>IF(INDEX('Prior Year TS Data Pull'!$A$1:$O$607,MATCH(C74,'Prior Year TS Data Pull'!$A$1:$A$607,0),MATCH("Temporary RN Staffing:
Line Reported on in Standardized Financials",'Prior Year TS Data Pull'!$A$1:$O$1,0))="66.1: Salary and Benefit Expense",'Prior Year Data Table'!$AV74-'Prior Year Data Table'!$S74,0)</f>
        <v>0</v>
      </c>
      <c r="U74" s="38">
        <f>IFERROR(INDEX('Prior Year Data Pull'!$A$2:$CB$593,MATCH(C74,'Prior Year Data Pull'!$A$2:$A$593,0),MATCH("Total Expenses Including Nonrecurring Gains Losses",'Prior Year Data Pull'!$A$1:$CB$1,0)),"")</f>
        <v>262945000</v>
      </c>
      <c r="V74" s="41">
        <f t="shared" si="18"/>
        <v>0</v>
      </c>
      <c r="W74" s="41">
        <f t="shared" si="19"/>
        <v>0</v>
      </c>
      <c r="X74" s="41">
        <f t="shared" si="20"/>
        <v>0</v>
      </c>
      <c r="Y74" s="37" t="str">
        <f t="shared" si="21"/>
        <v/>
      </c>
      <c r="Z74" s="41">
        <f t="shared" si="22"/>
        <v>0</v>
      </c>
      <c r="AA74" s="39">
        <f t="shared" si="23"/>
        <v>-2557.7142857142858</v>
      </c>
      <c r="AB74" s="37" t="str">
        <f t="shared" si="24"/>
        <v/>
      </c>
      <c r="AC74" s="37" t="str">
        <f t="shared" si="25"/>
        <v/>
      </c>
      <c r="AD74" s="38">
        <f>IFERROR(INDEX('Prior Year Data Pull'!$A$2:$CB$593,MATCH(C74,'Prior Year Data Pull'!$A$2:$A$593,0),MATCH("Net Patient Service Revenue",'Prior Year Data Pull'!$A$1:$CB$1,0)),"")</f>
        <v>193031000</v>
      </c>
      <c r="AE74" s="38">
        <f>IFERROR(INDEX('Prior Year Data Pull'!$A$2:$CB$593,MATCH(C74,'Prior Year Data Pull'!$A$2:$A$593,0),MATCH("Total Current Assets",'Prior Year Data Pull'!$A$1:$CB$1,0)),"")</f>
        <v>0</v>
      </c>
      <c r="AF74" s="38">
        <f>IFERROR(INDEX('Prior Year Data Pull'!$A$2:$CB$593,MATCH(C74,'Prior Year Data Pull'!$A$2:$A$593,0),MATCH("Total Current Liabilities",'Prior Year Data Pull'!$A$1:$CB$1,0)),"")</f>
        <v>0</v>
      </c>
      <c r="AG74" s="38">
        <f>IFERROR(INDEX('Prior Year Data Pull'!$A$2:$CB$593,MATCH(C74,'Prior Year Data Pull'!$A$2:$A$593,0),MATCH("Total Non Operating Revenue",'Prior Year Data Pull'!$A$1:$CB$1,0)),"")</f>
        <v>-462000</v>
      </c>
      <c r="AH74" s="38">
        <f>IFERROR(INDEX('Prior Year Data Pull'!$A$2:$CB$593,MATCH(C74,'Prior Year Data Pull'!$A$2:$A$593,0),MATCH("Less Accumulated Depreciation",'Prior Year Data Pull'!$A$1:$CB$1,0)),"")</f>
        <v>0</v>
      </c>
      <c r="AI74" s="38">
        <f>IFERROR(INDEX('Prior Year Data Pull'!$A$2:$CB$593,MATCH(C74,'Prior Year Data Pull'!$A$2:$A$593,0),MATCH("Depreciation and Amortization Expense",'Prior Year Data Pull'!$A$1:$CB$1,0)),"")</f>
        <v>2551000</v>
      </c>
      <c r="AJ74" s="38">
        <f>IFERROR(INDEX('Prior Year Data Pull'!$A$2:$CB$593,MATCH(C74,'Prior Year Data Pull'!$A$2:$A$593,0),MATCH("Net Patient Accounts Receivable",'Prior Year Data Pull'!$A$1:$CB$1,0)),"")</f>
        <v>0</v>
      </c>
      <c r="AK74" s="14">
        <v>365</v>
      </c>
      <c r="AL74" s="38">
        <f>IFERROR(INDEX('Prior Year Data Pull'!$A$2:$CB$593,MATCH(C74,'Prior Year Data Pull'!$A$2:$A$593,0),MATCH("Estimated Third Party Settlements",'Prior Year Data Pull'!$A$1:$CB$1,0)),"")</f>
        <v>0</v>
      </c>
      <c r="AM74" s="38">
        <f>IFERROR(INDEX('Prior Year Data Pull'!$A$2:$CB$593,MATCH(C74,'Prior Year Data Pull'!$A$2:$A$593,0),MATCH("Current Liabilities due to Affiliates",'Prior Year Data Pull'!$A$1:$CB$1,0)),"")</f>
        <v>0</v>
      </c>
      <c r="AN74" s="38">
        <f>IFERROR(INDEX('Prior Year Data Pull'!$A$2:$CB$593,MATCH(C74,'Prior Year Data Pull'!$A$2:$A$593,0),MATCH("Short Term Investments",'Prior Year Data Pull'!$A$1:$CB$1,0)),"")</f>
        <v>0</v>
      </c>
      <c r="AO74" s="38">
        <f>IFERROR(INDEX('Prior Year Data Pull'!$A$2:$CB$593,MATCH(C74,'Prior Year Data Pull'!$A$2:$A$593,0),MATCH("Cash and Cash Equivalents",'Prior Year Data Pull'!$A$1:$CB$1,0)),"")</f>
        <v>0</v>
      </c>
      <c r="AP74" s="38">
        <f>IFERROR(INDEX('Prior Year Data Pull'!$A$2:$CB$593,MATCH(C74,'Prior Year Data Pull'!$A$2:$A$593,0),MATCH("Interest Expense",'Prior Year Data Pull'!$A$1:$CB$1,0)),"")</f>
        <v>7000</v>
      </c>
      <c r="AQ74" s="38">
        <f>IFERROR(INDEX('Prior Year Data Pull'!$A$2:$CB$593,MATCH(C74,'Prior Year Data Pull'!$A$2:$A$593,0),MATCH("Long Term Debt Net of Current Portion",'Prior Year Data Pull'!$A$1:$CB$1,0)),"")</f>
        <v>0</v>
      </c>
      <c r="AR74" s="38">
        <f>IFERROR(INDEX('Prior Year Data Pull'!$A$2:$CB$593,MATCH(C74,'Prior Year Data Pull'!$A$2:$A$593,0),MATCH("Total Assets",'Prior Year Data Pull'!$A$1:$CB$1,0)),"")</f>
        <v>0</v>
      </c>
      <c r="AS74" s="38">
        <f>IFERROR(INDEX('Prior Year Data Pull'!$A$2:$CB$593,MATCH(C74,'Prior Year Data Pull'!$A$2:$A$593,0),MATCH("Long Term Debt Net of Current Portion",'Prior Year Data Pull'!$A$1:$CB$1,0)),"")</f>
        <v>0</v>
      </c>
      <c r="AT74" s="38">
        <f>IFERROR(INDEX('Prior Year Data Pull'!$A$2:$CB$593,MATCH(C74,'Prior Year Data Pull'!$A$2:$A$593,0),MATCH("Net Unrestricted Assets",'Prior Year Data Pull'!$A$1:$CB$1,0)),"")</f>
        <v>0</v>
      </c>
      <c r="AU74" s="38">
        <f>IFERROR(INDEX('Prior Year Data Pull'!$A$2:$CB$593,MATCH(C74,'Prior Year Data Pull'!$A$2:$A$593,0),MATCH("Unrealized Gains/Losses",'Prior Year Data Pull'!$A$1:$CB$1,0)),"")</f>
        <v>-4000</v>
      </c>
      <c r="AV74" s="38">
        <f>IFERROR(INDEX('Prior Year Data Pull'!$A$2:$CB$593,MATCH(C74,'Prior Year Data Pull'!$A$2:$A$593,0),MATCH("Salary and Benefit Expense",'Prior Year Data Pull'!$A$1:$CB$1,0)),"")</f>
        <v>217159000</v>
      </c>
    </row>
    <row r="75" spans="1:48" ht="34.200000000000003" x14ac:dyDescent="0.3">
      <c r="A75" s="46" t="str">
        <f>IFERROR(INDEX('Static Data Tab'!$N$2:$N$610,MATCH(D75,'Static Data Tab'!$D$2:$D$610,0)), "")</f>
        <v>Sturdy Memorial Foundation</v>
      </c>
      <c r="B75" s="46" t="s">
        <v>182</v>
      </c>
      <c r="C75" s="46">
        <v>11397</v>
      </c>
      <c r="D75" s="46">
        <v>12773</v>
      </c>
      <c r="E75" s="46" t="str">
        <f>IFERROR(INDEX('Prior Year Data Pull'!$A$1:$CB$593,MATCH(C75,'Prior Year Data Pull'!$A$1:$A$593,0),MATCH("Organization Type",'Prior Year Data Pull'!$A$1:$CB$1,0)),"")</f>
        <v>PhysicianOrganization</v>
      </c>
      <c r="F75" s="46" t="str">
        <f>IFERROR(INDEX('Static Data Tab'!$E$2:$E$610,MATCH(C75,'Static Data Tab'!$B$2:$B$610,0)), "-")</f>
        <v>-</v>
      </c>
      <c r="G75" s="46" t="str">
        <f>IFERROR(INDEX('Static Data Tab'!$J$2:$J$610,MATCH(C75,'Static Data Tab'!$B$2:$B$610,0)), "")</f>
        <v/>
      </c>
      <c r="H75" s="46" t="str">
        <f>IFERROR(INDEX('Static Data Tab'!$F$2:$F$610,MATCH(C75,'Static Data Tab'!$B$2:$B$610,0)), "")</f>
        <v/>
      </c>
      <c r="I75" s="46" t="str">
        <f>IFERROR(INDEX('Static Data Tab'!$G$2:$G$610,MATCH(C75,'Static Data Tab'!$B$2:$B$610,0)), "")</f>
        <v/>
      </c>
      <c r="J75" s="46" t="str">
        <f>IFERROR(INDEX('Prior Year Data Pull'!$A$2:$CB$593,MATCH(C75,'Prior Year Data Pull'!$A$2:$A$593,0),MATCH("Quarter Range",'Prior Year Data Pull'!$A$1:$CB$1,0)),"")</f>
        <v xml:space="preserve">10/01/2024-09/30/2025
</v>
      </c>
      <c r="K75" s="45">
        <f t="shared" si="13"/>
        <v>-0.34841728971669667</v>
      </c>
      <c r="L75" s="45">
        <f t="shared" si="14"/>
        <v>4.3796303320190887E-4</v>
      </c>
      <c r="M75" s="45">
        <f t="shared" si="15"/>
        <v>-0.34797932668349474</v>
      </c>
      <c r="N75" s="47">
        <f t="shared" si="16"/>
        <v>-23812376</v>
      </c>
      <c r="O75" s="265" t="str">
        <f t="shared" si="17"/>
        <v/>
      </c>
      <c r="P75" s="47">
        <f>IFERROR(INDEX('Prior Year Data Pull'!$A$2:$CB$593,MATCH('Prior Year Data Table'!$C75,'Prior Year Data Pull'!$A$2:$A$593,0),MATCH("Total Net Assets or Equity",'Prior Year Data Pull'!$A$1:$CB$1,0)),"")</f>
        <v>0</v>
      </c>
      <c r="Q75" s="47">
        <f>IFERROR(INDEX('Prior Year Data Pull'!$A$2:$CB$593,MATCH('Prior Year Data Table'!$C75,'Prior Year Data Pull'!$A$2:$A$593,0),MATCH("Total Operating Revenue",'Prior Year Data Pull'!$A$1:$CB$1,0)),"")</f>
        <v>68400463</v>
      </c>
      <c r="R75" s="47">
        <f>IFERROR(INDEX('Prior Year Data Pull'!$A$2:$CB$593,MATCH('Prior Year Data Table'!$C75,'Prior Year Data Pull'!$A$2:$A$593,0),MATCH("Total Unrestricted Revenue Gains and Other Support",'Prior Year Data Pull'!$A$1:$CB$1,0)),"")</f>
        <v>68430433</v>
      </c>
      <c r="S75" s="47">
        <f>IFERROR(INDEX('Prior Year TS Data Pull'!$K$2:$K$607,MATCH(C75,'Prior Year TS Data Pull'!$A$2:$A$607,0))+INDEX('Prior Year TS Data Pull'!$O$2:$O$119,MATCH(C75,'Prior Year TS Data Pull'!$A$2:$A$607,0))+INDEX('Prior Year TS Data Pull'!$S$2:$S$119,MATCH(C75,'Prior Year TS Data Pull'!$A$2:$A$607,0)),"")</f>
        <v>0</v>
      </c>
      <c r="T75" s="47">
        <f>IF(INDEX('Prior Year TS Data Pull'!$A$1:$O$607,MATCH(C75,'Prior Year TS Data Pull'!$A$1:$A$607,0),MATCH("Temporary RN Staffing:
Line Reported on in Standardized Financials",'Prior Year TS Data Pull'!$A$1:$O$1,0))="66.1: Salary and Benefit Expense",'Prior Year Data Table'!$AV75-'Prior Year Data Table'!$S75,0)</f>
        <v>0</v>
      </c>
      <c r="U75" s="47">
        <f>IFERROR(INDEX('Prior Year Data Pull'!$A$2:$CB$593,MATCH(C75,'Prior Year Data Pull'!$A$2:$A$593,0),MATCH("Total Expenses Including Nonrecurring Gains Losses",'Prior Year Data Pull'!$A$1:$CB$1,0)),"")</f>
        <v>92242809</v>
      </c>
      <c r="V75" s="266">
        <f t="shared" si="18"/>
        <v>0</v>
      </c>
      <c r="W75" s="266">
        <f t="shared" si="19"/>
        <v>0</v>
      </c>
      <c r="X75" s="266">
        <f t="shared" si="20"/>
        <v>0</v>
      </c>
      <c r="Y75" s="45" t="str">
        <f t="shared" si="21"/>
        <v/>
      </c>
      <c r="Z75" s="266">
        <f t="shared" si="22"/>
        <v>0</v>
      </c>
      <c r="AA75" s="265" t="str">
        <f t="shared" si="23"/>
        <v/>
      </c>
      <c r="AB75" s="45" t="str">
        <f t="shared" si="24"/>
        <v/>
      </c>
      <c r="AC75" s="45" t="str">
        <f t="shared" si="25"/>
        <v/>
      </c>
      <c r="AD75" s="47">
        <f>IFERROR(INDEX('Prior Year Data Pull'!$A$2:$CB$593,MATCH(C75,'Prior Year Data Pull'!$A$2:$A$593,0),MATCH("Net Patient Service Revenue",'Prior Year Data Pull'!$A$1:$CB$1,0)),"")</f>
        <v>64292997</v>
      </c>
      <c r="AE75" s="47">
        <f>IFERROR(INDEX('Prior Year Data Pull'!$A$2:$CB$593,MATCH(C75,'Prior Year Data Pull'!$A$2:$A$593,0),MATCH("Total Current Assets",'Prior Year Data Pull'!$A$1:$CB$1,0)),"")</f>
        <v>0</v>
      </c>
      <c r="AF75" s="47">
        <f>IFERROR(INDEX('Prior Year Data Pull'!$A$2:$CB$593,MATCH(C75,'Prior Year Data Pull'!$A$2:$A$593,0),MATCH("Total Current Liabilities",'Prior Year Data Pull'!$A$1:$CB$1,0)),"")</f>
        <v>0</v>
      </c>
      <c r="AG75" s="47">
        <f>IFERROR(INDEX('Prior Year Data Pull'!$A$2:$CB$593,MATCH(C75,'Prior Year Data Pull'!$A$2:$A$593,0),MATCH("Total Non Operating Revenue",'Prior Year Data Pull'!$A$1:$CB$1,0)),"")</f>
        <v>29970</v>
      </c>
      <c r="AH75" s="47">
        <f>IFERROR(INDEX('Prior Year Data Pull'!$A$2:$CB$593,MATCH(C75,'Prior Year Data Pull'!$A$2:$A$593,0),MATCH("Less Accumulated Depreciation",'Prior Year Data Pull'!$A$1:$CB$1,0)),"")</f>
        <v>0</v>
      </c>
      <c r="AI75" s="47">
        <f>IFERROR(INDEX('Prior Year Data Pull'!$A$2:$CB$593,MATCH(C75,'Prior Year Data Pull'!$A$2:$A$593,0),MATCH("Depreciation and Amortization Expense",'Prior Year Data Pull'!$A$1:$CB$1,0)),"")</f>
        <v>378686</v>
      </c>
      <c r="AJ75" s="47">
        <f>IFERROR(INDEX('Prior Year Data Pull'!$A$2:$CB$593,MATCH(C75,'Prior Year Data Pull'!$A$2:$A$593,0),MATCH("Net Patient Accounts Receivable",'Prior Year Data Pull'!$A$1:$CB$1,0)),"")</f>
        <v>0</v>
      </c>
      <c r="AK75" s="46">
        <v>365</v>
      </c>
      <c r="AL75" s="47">
        <f>IFERROR(INDEX('Prior Year Data Pull'!$A$2:$CB$593,MATCH(C75,'Prior Year Data Pull'!$A$2:$A$593,0),MATCH("Estimated Third Party Settlements",'Prior Year Data Pull'!$A$1:$CB$1,0)),"")</f>
        <v>0</v>
      </c>
      <c r="AM75" s="47">
        <f>IFERROR(INDEX('Prior Year Data Pull'!$A$2:$CB$593,MATCH(C75,'Prior Year Data Pull'!$A$2:$A$593,0),MATCH("Current Liabilities due to Affiliates",'Prior Year Data Pull'!$A$1:$CB$1,0)),"")</f>
        <v>0</v>
      </c>
      <c r="AN75" s="47">
        <f>IFERROR(INDEX('Prior Year Data Pull'!$A$2:$CB$593,MATCH(C75,'Prior Year Data Pull'!$A$2:$A$593,0),MATCH("Short Term Investments",'Prior Year Data Pull'!$A$1:$CB$1,0)),"")</f>
        <v>0</v>
      </c>
      <c r="AO75" s="47">
        <f>IFERROR(INDEX('Prior Year Data Pull'!$A$2:$CB$593,MATCH(C75,'Prior Year Data Pull'!$A$2:$A$593,0),MATCH("Cash and Cash Equivalents",'Prior Year Data Pull'!$A$1:$CB$1,0)),"")</f>
        <v>0</v>
      </c>
      <c r="AP75" s="47">
        <f>IFERROR(INDEX('Prior Year Data Pull'!$A$2:$CB$593,MATCH(C75,'Prior Year Data Pull'!$A$2:$A$593,0),MATCH("Interest Expense",'Prior Year Data Pull'!$A$1:$CB$1,0)),"")</f>
        <v>0</v>
      </c>
      <c r="AQ75" s="47">
        <f>IFERROR(INDEX('Prior Year Data Pull'!$A$2:$CB$593,MATCH(C75,'Prior Year Data Pull'!$A$2:$A$593,0),MATCH("Long Term Debt Net of Current Portion",'Prior Year Data Pull'!$A$1:$CB$1,0)),"")</f>
        <v>0</v>
      </c>
      <c r="AR75" s="47">
        <f>IFERROR(INDEX('Prior Year Data Pull'!$A$2:$CB$593,MATCH(C75,'Prior Year Data Pull'!$A$2:$A$593,0),MATCH("Total Assets",'Prior Year Data Pull'!$A$1:$CB$1,0)),"")</f>
        <v>0</v>
      </c>
      <c r="AS75" s="47">
        <f>IFERROR(INDEX('Prior Year Data Pull'!$A$2:$CB$593,MATCH(C75,'Prior Year Data Pull'!$A$2:$A$593,0),MATCH("Long Term Debt Net of Current Portion",'Prior Year Data Pull'!$A$1:$CB$1,0)),"")</f>
        <v>0</v>
      </c>
      <c r="AT75" s="47">
        <f>IFERROR(INDEX('Prior Year Data Pull'!$A$2:$CB$593,MATCH(C75,'Prior Year Data Pull'!$A$2:$A$593,0),MATCH("Net Unrestricted Assets",'Prior Year Data Pull'!$A$1:$CB$1,0)),"")</f>
        <v>0</v>
      </c>
      <c r="AU75" s="47">
        <f>IFERROR(INDEX('Prior Year Data Pull'!$A$2:$CB$593,MATCH(C75,'Prior Year Data Pull'!$A$2:$A$593,0),MATCH("Unrealized Gains/Losses",'Prior Year Data Pull'!$A$1:$CB$1,0)),"")</f>
        <v>0</v>
      </c>
      <c r="AV75" s="47">
        <f>IFERROR(INDEX('Prior Year Data Pull'!$A$2:$CB$593,MATCH(C75,'Prior Year Data Pull'!$A$2:$A$593,0),MATCH("Salary and Benefit Expense",'Prior Year Data Pull'!$A$1:$CB$1,0)),"")</f>
        <v>77353948</v>
      </c>
    </row>
    <row r="76" spans="1:48" ht="34.200000000000003" x14ac:dyDescent="0.3">
      <c r="A76" s="14" t="str">
        <f>IFERROR(INDEX('Static Data Tab'!$N$2:$N$610,MATCH(D76,'Static Data Tab'!$D$2:$D$610,0)), "")</f>
        <v>Beth Israel Lahey Health</v>
      </c>
      <c r="B76" s="14" t="s">
        <v>108</v>
      </c>
      <c r="C76" s="14">
        <v>11404</v>
      </c>
      <c r="D76" s="14">
        <v>16665</v>
      </c>
      <c r="E76" s="14" t="str">
        <f>IFERROR(INDEX('Prior Year Data Pull'!$A$1:$CB$593,MATCH(C76,'Prior Year Data Pull'!$A$1:$A$593,0),MATCH("Organization Type",'Prior Year Data Pull'!$A$1:$CB$1,0)),"")</f>
        <v>PhysicianOrganization</v>
      </c>
      <c r="F76" s="14" t="str">
        <f>IFERROR(INDEX('Static Data Tab'!$E$2:$E$610,MATCH(C76,'Static Data Tab'!$B$2:$B$610,0)), "-")</f>
        <v>-</v>
      </c>
      <c r="G76" s="14" t="str">
        <f>IFERROR(INDEX('Static Data Tab'!$J$2:$J$610,MATCH(C76,'Static Data Tab'!$B$2:$B$610,0)), "")</f>
        <v/>
      </c>
      <c r="H76" s="14" t="str">
        <f>IFERROR(INDEX('Static Data Tab'!$F$2:$F$610,MATCH(C76,'Static Data Tab'!$B$2:$B$610,0)), "")</f>
        <v/>
      </c>
      <c r="I76" s="14" t="str">
        <f>IFERROR(INDEX('Static Data Tab'!$G$2:$G$610,MATCH(C76,'Static Data Tab'!$B$2:$B$610,0)), "")</f>
        <v/>
      </c>
      <c r="J76" s="14" t="str">
        <f>IFERROR(INDEX('Prior Year Data Pull'!$A$2:$CB$593,MATCH(C76,'Prior Year Data Pull'!$A$2:$A$593,0),MATCH("Quarter Range",'Prior Year Data Pull'!$A$1:$CB$1,0)),"")</f>
        <v xml:space="preserve">10/01/2024-09/30/2025
</v>
      </c>
      <c r="K76" s="37">
        <f t="shared" si="13"/>
        <v>-0.31192113245702729</v>
      </c>
      <c r="L76" s="37">
        <f t="shared" si="14"/>
        <v>9.221435793731041E-3</v>
      </c>
      <c r="M76" s="37">
        <f t="shared" si="15"/>
        <v>-0.30269969666329627</v>
      </c>
      <c r="N76" s="38">
        <f t="shared" si="16"/>
        <v>-29937000</v>
      </c>
      <c r="O76" s="39" t="str">
        <f t="shared" si="17"/>
        <v/>
      </c>
      <c r="P76" s="38">
        <f>IFERROR(INDEX('Prior Year Data Pull'!$A$2:$CB$593,MATCH('Prior Year Data Table'!$C76,'Prior Year Data Pull'!$A$2:$A$593,0),MATCH("Total Net Assets or Equity",'Prior Year Data Pull'!$A$1:$CB$1,0)),"")</f>
        <v>0</v>
      </c>
      <c r="Q76" s="38">
        <f>IFERROR(INDEX('Prior Year Data Pull'!$A$2:$CB$593,MATCH('Prior Year Data Table'!$C76,'Prior Year Data Pull'!$A$2:$A$593,0),MATCH("Total Operating Revenue",'Prior Year Data Pull'!$A$1:$CB$1,0)),"")</f>
        <v>97988000</v>
      </c>
      <c r="R76" s="38">
        <f>IFERROR(INDEX('Prior Year Data Pull'!$A$2:$CB$593,MATCH('Prior Year Data Table'!$C76,'Prior Year Data Pull'!$A$2:$A$593,0),MATCH("Total Unrestricted Revenue Gains and Other Support",'Prior Year Data Pull'!$A$1:$CB$1,0)),"")</f>
        <v>98900000</v>
      </c>
      <c r="S76" s="38">
        <f>IFERROR(INDEX('Prior Year TS Data Pull'!$K$2:$K$607,MATCH(C76,'Prior Year TS Data Pull'!$A$2:$A$607,0))+INDEX('Prior Year TS Data Pull'!$O$2:$O$119,MATCH(C76,'Prior Year TS Data Pull'!$A$2:$A$607,0))+INDEX('Prior Year TS Data Pull'!$S$2:$S$119,MATCH(C76,'Prior Year TS Data Pull'!$A$2:$A$607,0)),"")</f>
        <v>0</v>
      </c>
      <c r="T76" s="38">
        <f>IF(INDEX('Prior Year TS Data Pull'!$A$1:$O$607,MATCH(C76,'Prior Year TS Data Pull'!$A$1:$A$607,0),MATCH("Temporary RN Staffing:
Line Reported on in Standardized Financials",'Prior Year TS Data Pull'!$A$1:$O$1,0))="66.1: Salary and Benefit Expense",'Prior Year Data Table'!$AV76-'Prior Year Data Table'!$S76,0)</f>
        <v>62847000</v>
      </c>
      <c r="U76" s="38">
        <f>IFERROR(INDEX('Prior Year Data Pull'!$A$2:$CB$593,MATCH(C76,'Prior Year Data Pull'!$A$2:$A$593,0),MATCH("Total Expenses Including Nonrecurring Gains Losses",'Prior Year Data Pull'!$A$1:$CB$1,0)),"")</f>
        <v>128837000</v>
      </c>
      <c r="V76" s="41">
        <f t="shared" si="18"/>
        <v>0</v>
      </c>
      <c r="W76" s="41">
        <f t="shared" si="19"/>
        <v>0</v>
      </c>
      <c r="X76" s="41">
        <f t="shared" si="20"/>
        <v>0</v>
      </c>
      <c r="Y76" s="37" t="str">
        <f t="shared" si="21"/>
        <v/>
      </c>
      <c r="Z76" s="41">
        <f t="shared" si="22"/>
        <v>0</v>
      </c>
      <c r="AA76" s="39" t="str">
        <f t="shared" si="23"/>
        <v/>
      </c>
      <c r="AB76" s="37" t="str">
        <f t="shared" si="24"/>
        <v/>
      </c>
      <c r="AC76" s="37" t="str">
        <f t="shared" si="25"/>
        <v/>
      </c>
      <c r="AD76" s="38">
        <f>IFERROR(INDEX('Prior Year Data Pull'!$A$2:$CB$593,MATCH(C76,'Prior Year Data Pull'!$A$2:$A$593,0),MATCH("Net Patient Service Revenue",'Prior Year Data Pull'!$A$1:$CB$1,0)),"")</f>
        <v>81115000</v>
      </c>
      <c r="AE76" s="38">
        <f>IFERROR(INDEX('Prior Year Data Pull'!$A$2:$CB$593,MATCH(C76,'Prior Year Data Pull'!$A$2:$A$593,0),MATCH("Total Current Assets",'Prior Year Data Pull'!$A$1:$CB$1,0)),"")</f>
        <v>0</v>
      </c>
      <c r="AF76" s="38">
        <f>IFERROR(INDEX('Prior Year Data Pull'!$A$2:$CB$593,MATCH(C76,'Prior Year Data Pull'!$A$2:$A$593,0),MATCH("Total Current Liabilities",'Prior Year Data Pull'!$A$1:$CB$1,0)),"")</f>
        <v>0</v>
      </c>
      <c r="AG76" s="38">
        <f>IFERROR(INDEX('Prior Year Data Pull'!$A$2:$CB$593,MATCH(C76,'Prior Year Data Pull'!$A$2:$A$593,0),MATCH("Total Non Operating Revenue",'Prior Year Data Pull'!$A$1:$CB$1,0)),"")</f>
        <v>912000</v>
      </c>
      <c r="AH76" s="38">
        <f>IFERROR(INDEX('Prior Year Data Pull'!$A$2:$CB$593,MATCH(C76,'Prior Year Data Pull'!$A$2:$A$593,0),MATCH("Less Accumulated Depreciation",'Prior Year Data Pull'!$A$1:$CB$1,0)),"")</f>
        <v>0</v>
      </c>
      <c r="AI76" s="38">
        <f>IFERROR(INDEX('Prior Year Data Pull'!$A$2:$CB$593,MATCH(C76,'Prior Year Data Pull'!$A$2:$A$593,0),MATCH("Depreciation and Amortization Expense",'Prior Year Data Pull'!$A$1:$CB$1,0)),"")</f>
        <v>1226000</v>
      </c>
      <c r="AJ76" s="38">
        <f>IFERROR(INDEX('Prior Year Data Pull'!$A$2:$CB$593,MATCH(C76,'Prior Year Data Pull'!$A$2:$A$593,0),MATCH("Net Patient Accounts Receivable",'Prior Year Data Pull'!$A$1:$CB$1,0)),"")</f>
        <v>0</v>
      </c>
      <c r="AK76" s="14">
        <v>365</v>
      </c>
      <c r="AL76" s="38">
        <f>IFERROR(INDEX('Prior Year Data Pull'!$A$2:$CB$593,MATCH(C76,'Prior Year Data Pull'!$A$2:$A$593,0),MATCH("Estimated Third Party Settlements",'Prior Year Data Pull'!$A$1:$CB$1,0)),"")</f>
        <v>0</v>
      </c>
      <c r="AM76" s="38">
        <f>IFERROR(INDEX('Prior Year Data Pull'!$A$2:$CB$593,MATCH(C76,'Prior Year Data Pull'!$A$2:$A$593,0),MATCH("Current Liabilities due to Affiliates",'Prior Year Data Pull'!$A$1:$CB$1,0)),"")</f>
        <v>0</v>
      </c>
      <c r="AN76" s="38">
        <f>IFERROR(INDEX('Prior Year Data Pull'!$A$2:$CB$593,MATCH(C76,'Prior Year Data Pull'!$A$2:$A$593,0),MATCH("Short Term Investments",'Prior Year Data Pull'!$A$1:$CB$1,0)),"")</f>
        <v>0</v>
      </c>
      <c r="AO76" s="38">
        <f>IFERROR(INDEX('Prior Year Data Pull'!$A$2:$CB$593,MATCH(C76,'Prior Year Data Pull'!$A$2:$A$593,0),MATCH("Cash and Cash Equivalents",'Prior Year Data Pull'!$A$1:$CB$1,0)),"")</f>
        <v>0</v>
      </c>
      <c r="AP76" s="38">
        <f>IFERROR(INDEX('Prior Year Data Pull'!$A$2:$CB$593,MATCH(C76,'Prior Year Data Pull'!$A$2:$A$593,0),MATCH("Interest Expense",'Prior Year Data Pull'!$A$1:$CB$1,0)),"")</f>
        <v>0</v>
      </c>
      <c r="AQ76" s="38">
        <f>IFERROR(INDEX('Prior Year Data Pull'!$A$2:$CB$593,MATCH(C76,'Prior Year Data Pull'!$A$2:$A$593,0),MATCH("Long Term Debt Net of Current Portion",'Prior Year Data Pull'!$A$1:$CB$1,0)),"")</f>
        <v>0</v>
      </c>
      <c r="AR76" s="38">
        <f>IFERROR(INDEX('Prior Year Data Pull'!$A$2:$CB$593,MATCH(C76,'Prior Year Data Pull'!$A$2:$A$593,0),MATCH("Total Assets",'Prior Year Data Pull'!$A$1:$CB$1,0)),"")</f>
        <v>0</v>
      </c>
      <c r="AS76" s="38">
        <f>IFERROR(INDEX('Prior Year Data Pull'!$A$2:$CB$593,MATCH(C76,'Prior Year Data Pull'!$A$2:$A$593,0),MATCH("Long Term Debt Net of Current Portion",'Prior Year Data Pull'!$A$1:$CB$1,0)),"")</f>
        <v>0</v>
      </c>
      <c r="AT76" s="38">
        <f>IFERROR(INDEX('Prior Year Data Pull'!$A$2:$CB$593,MATCH(C76,'Prior Year Data Pull'!$A$2:$A$593,0),MATCH("Net Unrestricted Assets",'Prior Year Data Pull'!$A$1:$CB$1,0)),"")</f>
        <v>0</v>
      </c>
      <c r="AU76" s="38">
        <f>IFERROR(INDEX('Prior Year Data Pull'!$A$2:$CB$593,MATCH(C76,'Prior Year Data Pull'!$A$2:$A$593,0),MATCH("Unrealized Gains/Losses",'Prior Year Data Pull'!$A$1:$CB$1,0)),"")</f>
        <v>0</v>
      </c>
      <c r="AV76" s="38">
        <f>IFERROR(INDEX('Prior Year Data Pull'!$A$2:$CB$593,MATCH(C76,'Prior Year Data Pull'!$A$2:$A$593,0),MATCH("Salary and Benefit Expense",'Prior Year Data Pull'!$A$1:$CB$1,0)),"")</f>
        <v>62847000</v>
      </c>
    </row>
    <row r="77" spans="1:48" ht="34.200000000000003" x14ac:dyDescent="0.3">
      <c r="A77" s="46" t="str">
        <f>IFERROR(INDEX('Static Data Tab'!$N$2:$N$610,MATCH(D77,'Static Data Tab'!$D$2:$D$610,0)), "")</f>
        <v>Beth Israel Lahey Health</v>
      </c>
      <c r="B77" s="46" t="s">
        <v>110</v>
      </c>
      <c r="C77" s="46">
        <v>11408</v>
      </c>
      <c r="D77" s="46">
        <v>16665</v>
      </c>
      <c r="E77" s="46" t="str">
        <f>IFERROR(INDEX('Prior Year Data Pull'!$A$1:$CB$593,MATCH(C77,'Prior Year Data Pull'!$A$1:$A$593,0),MATCH("Organization Type",'Prior Year Data Pull'!$A$1:$CB$1,0)),"")</f>
        <v>PhysicianOrganization</v>
      </c>
      <c r="F77" s="46" t="str">
        <f>IFERROR(INDEX('Static Data Tab'!$E$2:$E$610,MATCH(C77,'Static Data Tab'!$B$2:$B$610,0)), "-")</f>
        <v>-</v>
      </c>
      <c r="G77" s="46" t="str">
        <f>IFERROR(INDEX('Static Data Tab'!$J$2:$J$610,MATCH(C77,'Static Data Tab'!$B$2:$B$610,0)), "")</f>
        <v/>
      </c>
      <c r="H77" s="46" t="str">
        <f>IFERROR(INDEX('Static Data Tab'!$F$2:$F$610,MATCH(C77,'Static Data Tab'!$B$2:$B$610,0)), "")</f>
        <v/>
      </c>
      <c r="I77" s="46" t="str">
        <f>IFERROR(INDEX('Static Data Tab'!$G$2:$G$610,MATCH(C77,'Static Data Tab'!$B$2:$B$610,0)), "")</f>
        <v/>
      </c>
      <c r="J77" s="46" t="str">
        <f>IFERROR(INDEX('Prior Year Data Pull'!$A$2:$CB$593,MATCH(C77,'Prior Year Data Pull'!$A$2:$A$593,0),MATCH("Quarter Range",'Prior Year Data Pull'!$A$1:$CB$1,0)),"")</f>
        <v xml:space="preserve">10/01/2024-09/30/2025
</v>
      </c>
      <c r="K77" s="45">
        <f t="shared" si="13"/>
        <v>-0.51837999731787632</v>
      </c>
      <c r="L77" s="45">
        <f t="shared" si="14"/>
        <v>-8.9851142137652544E-3</v>
      </c>
      <c r="M77" s="45">
        <f t="shared" si="15"/>
        <v>-0.52736511153164156</v>
      </c>
      <c r="N77" s="47">
        <f t="shared" si="16"/>
        <v>-35392000</v>
      </c>
      <c r="O77" s="265" t="str">
        <f t="shared" si="17"/>
        <v/>
      </c>
      <c r="P77" s="47">
        <f>IFERROR(INDEX('Prior Year Data Pull'!$A$2:$CB$593,MATCH('Prior Year Data Table'!$C77,'Prior Year Data Pull'!$A$2:$A$593,0),MATCH("Total Net Assets or Equity",'Prior Year Data Pull'!$A$1:$CB$1,0)),"")</f>
        <v>0</v>
      </c>
      <c r="Q77" s="47">
        <f>IFERROR(INDEX('Prior Year Data Pull'!$A$2:$CB$593,MATCH('Prior Year Data Table'!$C77,'Prior Year Data Pull'!$A$2:$A$593,0),MATCH("Total Operating Revenue",'Prior Year Data Pull'!$A$1:$CB$1,0)),"")</f>
        <v>67714000</v>
      </c>
      <c r="R77" s="47">
        <f>IFERROR(INDEX('Prior Year Data Pull'!$A$2:$CB$593,MATCH('Prior Year Data Table'!$C77,'Prior Year Data Pull'!$A$2:$A$593,0),MATCH("Total Unrestricted Revenue Gains and Other Support",'Prior Year Data Pull'!$A$1:$CB$1,0)),"")</f>
        <v>67111000</v>
      </c>
      <c r="S77" s="47">
        <f>IFERROR(INDEX('Prior Year TS Data Pull'!$K$2:$K$607,MATCH(C77,'Prior Year TS Data Pull'!$A$2:$A$607,0))+INDEX('Prior Year TS Data Pull'!$O$2:$O$119,MATCH(C77,'Prior Year TS Data Pull'!$A$2:$A$607,0))+INDEX('Prior Year TS Data Pull'!$S$2:$S$119,MATCH(C77,'Prior Year TS Data Pull'!$A$2:$A$607,0)),"")</f>
        <v>0</v>
      </c>
      <c r="T77" s="47">
        <f>IF(INDEX('Prior Year TS Data Pull'!$A$1:$O$607,MATCH(C77,'Prior Year TS Data Pull'!$A$1:$A$607,0),MATCH("Temporary RN Staffing:
Line Reported on in Standardized Financials",'Prior Year TS Data Pull'!$A$1:$O$1,0))="66.1: Salary and Benefit Expense",'Prior Year Data Table'!$AV77-'Prior Year Data Table'!$S77,0)</f>
        <v>66178000</v>
      </c>
      <c r="U77" s="47">
        <f>IFERROR(INDEX('Prior Year Data Pull'!$A$2:$CB$593,MATCH(C77,'Prior Year Data Pull'!$A$2:$A$593,0),MATCH("Total Expenses Including Nonrecurring Gains Losses",'Prior Year Data Pull'!$A$1:$CB$1,0)),"")</f>
        <v>102503000</v>
      </c>
      <c r="V77" s="266">
        <f t="shared" si="18"/>
        <v>0</v>
      </c>
      <c r="W77" s="266">
        <f t="shared" si="19"/>
        <v>0</v>
      </c>
      <c r="X77" s="266">
        <f t="shared" si="20"/>
        <v>0</v>
      </c>
      <c r="Y77" s="45" t="str">
        <f t="shared" si="21"/>
        <v/>
      </c>
      <c r="Z77" s="266">
        <f t="shared" si="22"/>
        <v>0</v>
      </c>
      <c r="AA77" s="265" t="str">
        <f t="shared" si="23"/>
        <v/>
      </c>
      <c r="AB77" s="45" t="str">
        <f t="shared" si="24"/>
        <v/>
      </c>
      <c r="AC77" s="45" t="str">
        <f t="shared" si="25"/>
        <v/>
      </c>
      <c r="AD77" s="47">
        <f>IFERROR(INDEX('Prior Year Data Pull'!$A$2:$CB$593,MATCH(C77,'Prior Year Data Pull'!$A$2:$A$593,0),MATCH("Net Patient Service Revenue",'Prior Year Data Pull'!$A$1:$CB$1,0)),"")</f>
        <v>64881000</v>
      </c>
      <c r="AE77" s="47">
        <f>IFERROR(INDEX('Prior Year Data Pull'!$A$2:$CB$593,MATCH(C77,'Prior Year Data Pull'!$A$2:$A$593,0),MATCH("Total Current Assets",'Prior Year Data Pull'!$A$1:$CB$1,0)),"")</f>
        <v>0</v>
      </c>
      <c r="AF77" s="47">
        <f>IFERROR(INDEX('Prior Year Data Pull'!$A$2:$CB$593,MATCH(C77,'Prior Year Data Pull'!$A$2:$A$593,0),MATCH("Total Current Liabilities",'Prior Year Data Pull'!$A$1:$CB$1,0)),"")</f>
        <v>0</v>
      </c>
      <c r="AG77" s="47">
        <f>IFERROR(INDEX('Prior Year Data Pull'!$A$2:$CB$593,MATCH(C77,'Prior Year Data Pull'!$A$2:$A$593,0),MATCH("Total Non Operating Revenue",'Prior Year Data Pull'!$A$1:$CB$1,0)),"")</f>
        <v>-603000</v>
      </c>
      <c r="AH77" s="47">
        <f>IFERROR(INDEX('Prior Year Data Pull'!$A$2:$CB$593,MATCH(C77,'Prior Year Data Pull'!$A$2:$A$593,0),MATCH("Less Accumulated Depreciation",'Prior Year Data Pull'!$A$1:$CB$1,0)),"")</f>
        <v>0</v>
      </c>
      <c r="AI77" s="47">
        <f>IFERROR(INDEX('Prior Year Data Pull'!$A$2:$CB$593,MATCH(C77,'Prior Year Data Pull'!$A$2:$A$593,0),MATCH("Depreciation and Amortization Expense",'Prior Year Data Pull'!$A$1:$CB$1,0)),"")</f>
        <v>328000</v>
      </c>
      <c r="AJ77" s="47">
        <f>IFERROR(INDEX('Prior Year Data Pull'!$A$2:$CB$593,MATCH(C77,'Prior Year Data Pull'!$A$2:$A$593,0),MATCH("Net Patient Accounts Receivable",'Prior Year Data Pull'!$A$1:$CB$1,0)),"")</f>
        <v>0</v>
      </c>
      <c r="AK77" s="46">
        <v>365</v>
      </c>
      <c r="AL77" s="47">
        <f>IFERROR(INDEX('Prior Year Data Pull'!$A$2:$CB$593,MATCH(C77,'Prior Year Data Pull'!$A$2:$A$593,0),MATCH("Estimated Third Party Settlements",'Prior Year Data Pull'!$A$1:$CB$1,0)),"")</f>
        <v>0</v>
      </c>
      <c r="AM77" s="47">
        <f>IFERROR(INDEX('Prior Year Data Pull'!$A$2:$CB$593,MATCH(C77,'Prior Year Data Pull'!$A$2:$A$593,0),MATCH("Current Liabilities due to Affiliates",'Prior Year Data Pull'!$A$1:$CB$1,0)),"")</f>
        <v>0</v>
      </c>
      <c r="AN77" s="47">
        <f>IFERROR(INDEX('Prior Year Data Pull'!$A$2:$CB$593,MATCH(C77,'Prior Year Data Pull'!$A$2:$A$593,0),MATCH("Short Term Investments",'Prior Year Data Pull'!$A$1:$CB$1,0)),"")</f>
        <v>0</v>
      </c>
      <c r="AO77" s="47">
        <f>IFERROR(INDEX('Prior Year Data Pull'!$A$2:$CB$593,MATCH(C77,'Prior Year Data Pull'!$A$2:$A$593,0),MATCH("Cash and Cash Equivalents",'Prior Year Data Pull'!$A$1:$CB$1,0)),"")</f>
        <v>0</v>
      </c>
      <c r="AP77" s="47">
        <f>IFERROR(INDEX('Prior Year Data Pull'!$A$2:$CB$593,MATCH(C77,'Prior Year Data Pull'!$A$2:$A$593,0),MATCH("Interest Expense",'Prior Year Data Pull'!$A$1:$CB$1,0)),"")</f>
        <v>0</v>
      </c>
      <c r="AQ77" s="47">
        <f>IFERROR(INDEX('Prior Year Data Pull'!$A$2:$CB$593,MATCH(C77,'Prior Year Data Pull'!$A$2:$A$593,0),MATCH("Long Term Debt Net of Current Portion",'Prior Year Data Pull'!$A$1:$CB$1,0)),"")</f>
        <v>0</v>
      </c>
      <c r="AR77" s="47">
        <f>IFERROR(INDEX('Prior Year Data Pull'!$A$2:$CB$593,MATCH(C77,'Prior Year Data Pull'!$A$2:$A$593,0),MATCH("Total Assets",'Prior Year Data Pull'!$A$1:$CB$1,0)),"")</f>
        <v>0</v>
      </c>
      <c r="AS77" s="47">
        <f>IFERROR(INDEX('Prior Year Data Pull'!$A$2:$CB$593,MATCH(C77,'Prior Year Data Pull'!$A$2:$A$593,0),MATCH("Long Term Debt Net of Current Portion",'Prior Year Data Pull'!$A$1:$CB$1,0)),"")</f>
        <v>0</v>
      </c>
      <c r="AT77" s="47">
        <f>IFERROR(INDEX('Prior Year Data Pull'!$A$2:$CB$593,MATCH(C77,'Prior Year Data Pull'!$A$2:$A$593,0),MATCH("Net Unrestricted Assets",'Prior Year Data Pull'!$A$1:$CB$1,0)),"")</f>
        <v>0</v>
      </c>
      <c r="AU77" s="47">
        <f>IFERROR(INDEX('Prior Year Data Pull'!$A$2:$CB$593,MATCH(C77,'Prior Year Data Pull'!$A$2:$A$593,0),MATCH("Unrealized Gains/Losses",'Prior Year Data Pull'!$A$1:$CB$1,0)),"")</f>
        <v>0</v>
      </c>
      <c r="AV77" s="47">
        <f>IFERROR(INDEX('Prior Year Data Pull'!$A$2:$CB$593,MATCH(C77,'Prior Year Data Pull'!$A$2:$A$593,0),MATCH("Salary and Benefit Expense",'Prior Year Data Pull'!$A$1:$CB$1,0)),"")</f>
        <v>66178000</v>
      </c>
    </row>
    <row r="78" spans="1:48" ht="34.200000000000003" x14ac:dyDescent="0.3">
      <c r="A78" s="14" t="str">
        <f>IFERROR(INDEX('Static Data Tab'!$N$2:$N$610,MATCH(D78,'Static Data Tab'!$D$2:$D$610,0)), "")</f>
        <v xml:space="preserve">Baystate Health </v>
      </c>
      <c r="B78" s="14" t="s">
        <v>82</v>
      </c>
      <c r="C78" s="14">
        <v>11490</v>
      </c>
      <c r="D78" s="14">
        <v>4066</v>
      </c>
      <c r="E78" s="14" t="str">
        <f>IFERROR(INDEX('Prior Year Data Pull'!$A$1:$CB$593,MATCH(C78,'Prior Year Data Pull'!$A$1:$A$593,0),MATCH("Organization Type",'Prior Year Data Pull'!$A$1:$CB$1,0)),"")</f>
        <v>PhysicianOrganization</v>
      </c>
      <c r="F78" s="14" t="str">
        <f>IFERROR(INDEX('Static Data Tab'!$E$2:$E$610,MATCH(C78,'Static Data Tab'!$B$2:$B$610,0)), "-")</f>
        <v>-</v>
      </c>
      <c r="G78" s="14" t="str">
        <f>IFERROR(INDEX('Static Data Tab'!$J$2:$J$610,MATCH(C78,'Static Data Tab'!$B$2:$B$610,0)), "")</f>
        <v/>
      </c>
      <c r="H78" s="14" t="str">
        <f>IFERROR(INDEX('Static Data Tab'!$F$2:$F$610,MATCH(C78,'Static Data Tab'!$B$2:$B$610,0)), "")</f>
        <v/>
      </c>
      <c r="I78" s="14" t="str">
        <f>IFERROR(INDEX('Static Data Tab'!$G$2:$G$610,MATCH(C78,'Static Data Tab'!$B$2:$B$610,0)), "")</f>
        <v/>
      </c>
      <c r="J78" s="14" t="str">
        <f>IFERROR(INDEX('Prior Year Data Pull'!$A$2:$CB$593,MATCH(C78,'Prior Year Data Pull'!$A$2:$A$593,0),MATCH("Quarter Range",'Prior Year Data Pull'!$A$1:$CB$1,0)),"")</f>
        <v xml:space="preserve">10/01/2024-09/30/2025
</v>
      </c>
      <c r="K78" s="37">
        <f t="shared" si="13"/>
        <v>-0.17523954199492064</v>
      </c>
      <c r="L78" s="37">
        <f t="shared" si="14"/>
        <v>8.0468838932786933E-4</v>
      </c>
      <c r="M78" s="37">
        <f t="shared" si="15"/>
        <v>-0.17443485360559277</v>
      </c>
      <c r="N78" s="38">
        <f t="shared" si="16"/>
        <v>-88877000</v>
      </c>
      <c r="O78" s="39" t="str">
        <f t="shared" si="17"/>
        <v/>
      </c>
      <c r="P78" s="38">
        <f>IFERROR(INDEX('Prior Year Data Pull'!$A$2:$CB$593,MATCH('Prior Year Data Table'!$C78,'Prior Year Data Pull'!$A$2:$A$593,0),MATCH("Total Net Assets or Equity",'Prior Year Data Pull'!$A$1:$CB$1,0)),"")</f>
        <v>0</v>
      </c>
      <c r="Q78" s="38">
        <f>IFERROR(INDEX('Prior Year Data Pull'!$A$2:$CB$593,MATCH('Prior Year Data Table'!$C78,'Prior Year Data Pull'!$A$2:$A$593,0),MATCH("Total Operating Revenue",'Prior Year Data Pull'!$A$1:$CB$1,0)),"")</f>
        <v>509104000</v>
      </c>
      <c r="R78" s="38">
        <f>IFERROR(INDEX('Prior Year Data Pull'!$A$2:$CB$593,MATCH('Prior Year Data Table'!$C78,'Prior Year Data Pull'!$A$2:$A$593,0),MATCH("Total Unrestricted Revenue Gains and Other Support",'Prior Year Data Pull'!$A$1:$CB$1,0)),"")</f>
        <v>509514000</v>
      </c>
      <c r="S78" s="38" t="str">
        <f>IFERROR(INDEX('Prior Year TS Data Pull'!$K$2:$K$607,MATCH(C78,'Prior Year TS Data Pull'!$A$2:$A$607,0))+INDEX('Prior Year TS Data Pull'!$O$2:$O$119,MATCH(C78,'Prior Year TS Data Pull'!$A$2:$A$607,0))+INDEX('Prior Year TS Data Pull'!$S$2:$S$119,MATCH(C78,'Prior Year TS Data Pull'!$A$2:$A$607,0)),"")</f>
        <v/>
      </c>
      <c r="T78" s="38">
        <f>IF(INDEX('Prior Year TS Data Pull'!$A$1:$O$607,MATCH(C78,'Prior Year TS Data Pull'!$A$1:$A$607,0),MATCH("Temporary RN Staffing:
Line Reported on in Standardized Financials",'Prior Year TS Data Pull'!$A$1:$O$1,0))="66.1: Salary and Benefit Expense",'Prior Year Data Table'!$AV78-'Prior Year Data Table'!$S78,0)</f>
        <v>0</v>
      </c>
      <c r="U78" s="38">
        <f>IFERROR(INDEX('Prior Year Data Pull'!$A$2:$CB$593,MATCH(C78,'Prior Year Data Pull'!$A$2:$A$593,0),MATCH("Total Expenses Including Nonrecurring Gains Losses",'Prior Year Data Pull'!$A$1:$CB$1,0)),"")</f>
        <v>598391000</v>
      </c>
      <c r="V78" s="41">
        <f t="shared" si="18"/>
        <v>0</v>
      </c>
      <c r="W78" s="41">
        <f t="shared" si="19"/>
        <v>0</v>
      </c>
      <c r="X78" s="41">
        <f t="shared" si="20"/>
        <v>0</v>
      </c>
      <c r="Y78" s="37" t="str">
        <f t="shared" si="21"/>
        <v/>
      </c>
      <c r="Z78" s="41">
        <f t="shared" si="22"/>
        <v>0</v>
      </c>
      <c r="AA78" s="39" t="str">
        <f t="shared" si="23"/>
        <v/>
      </c>
      <c r="AB78" s="37" t="str">
        <f t="shared" si="24"/>
        <v/>
      </c>
      <c r="AC78" s="37" t="str">
        <f t="shared" si="25"/>
        <v/>
      </c>
      <c r="AD78" s="38">
        <f>IFERROR(INDEX('Prior Year Data Pull'!$A$2:$CB$593,MATCH(C78,'Prior Year Data Pull'!$A$2:$A$593,0),MATCH("Net Patient Service Revenue",'Prior Year Data Pull'!$A$1:$CB$1,0)),"")</f>
        <v>250048000</v>
      </c>
      <c r="AE78" s="38">
        <f>IFERROR(INDEX('Prior Year Data Pull'!$A$2:$CB$593,MATCH(C78,'Prior Year Data Pull'!$A$2:$A$593,0),MATCH("Total Current Assets",'Prior Year Data Pull'!$A$1:$CB$1,0)),"")</f>
        <v>0</v>
      </c>
      <c r="AF78" s="38">
        <f>IFERROR(INDEX('Prior Year Data Pull'!$A$2:$CB$593,MATCH(C78,'Prior Year Data Pull'!$A$2:$A$593,0),MATCH("Total Current Liabilities",'Prior Year Data Pull'!$A$1:$CB$1,0)),"")</f>
        <v>0</v>
      </c>
      <c r="AG78" s="38">
        <f>IFERROR(INDEX('Prior Year Data Pull'!$A$2:$CB$593,MATCH(C78,'Prior Year Data Pull'!$A$2:$A$593,0),MATCH("Total Non Operating Revenue",'Prior Year Data Pull'!$A$1:$CB$1,0)),"")</f>
        <v>410000</v>
      </c>
      <c r="AH78" s="38">
        <f>IFERROR(INDEX('Prior Year Data Pull'!$A$2:$CB$593,MATCH(C78,'Prior Year Data Pull'!$A$2:$A$593,0),MATCH("Less Accumulated Depreciation",'Prior Year Data Pull'!$A$1:$CB$1,0)),"")</f>
        <v>0</v>
      </c>
      <c r="AI78" s="38">
        <f>IFERROR(INDEX('Prior Year Data Pull'!$A$2:$CB$593,MATCH(C78,'Prior Year Data Pull'!$A$2:$A$593,0),MATCH("Depreciation and Amortization Expense",'Prior Year Data Pull'!$A$1:$CB$1,0)),"")</f>
        <v>1430000</v>
      </c>
      <c r="AJ78" s="38">
        <f>IFERROR(INDEX('Prior Year Data Pull'!$A$2:$CB$593,MATCH(C78,'Prior Year Data Pull'!$A$2:$A$593,0),MATCH("Net Patient Accounts Receivable",'Prior Year Data Pull'!$A$1:$CB$1,0)),"")</f>
        <v>0</v>
      </c>
      <c r="AK78" s="14">
        <v>365</v>
      </c>
      <c r="AL78" s="38">
        <f>IFERROR(INDEX('Prior Year Data Pull'!$A$2:$CB$593,MATCH(C78,'Prior Year Data Pull'!$A$2:$A$593,0),MATCH("Estimated Third Party Settlements",'Prior Year Data Pull'!$A$1:$CB$1,0)),"")</f>
        <v>0</v>
      </c>
      <c r="AM78" s="38">
        <f>IFERROR(INDEX('Prior Year Data Pull'!$A$2:$CB$593,MATCH(C78,'Prior Year Data Pull'!$A$2:$A$593,0),MATCH("Current Liabilities due to Affiliates",'Prior Year Data Pull'!$A$1:$CB$1,0)),"")</f>
        <v>0</v>
      </c>
      <c r="AN78" s="38">
        <f>IFERROR(INDEX('Prior Year Data Pull'!$A$2:$CB$593,MATCH(C78,'Prior Year Data Pull'!$A$2:$A$593,0),MATCH("Short Term Investments",'Prior Year Data Pull'!$A$1:$CB$1,0)),"")</f>
        <v>0</v>
      </c>
      <c r="AO78" s="38">
        <f>IFERROR(INDEX('Prior Year Data Pull'!$A$2:$CB$593,MATCH(C78,'Prior Year Data Pull'!$A$2:$A$593,0),MATCH("Cash and Cash Equivalents",'Prior Year Data Pull'!$A$1:$CB$1,0)),"")</f>
        <v>0</v>
      </c>
      <c r="AP78" s="38">
        <f>IFERROR(INDEX('Prior Year Data Pull'!$A$2:$CB$593,MATCH(C78,'Prior Year Data Pull'!$A$2:$A$593,0),MATCH("Interest Expense",'Prior Year Data Pull'!$A$1:$CB$1,0)),"")</f>
        <v>0</v>
      </c>
      <c r="AQ78" s="38">
        <f>IFERROR(INDEX('Prior Year Data Pull'!$A$2:$CB$593,MATCH(C78,'Prior Year Data Pull'!$A$2:$A$593,0),MATCH("Long Term Debt Net of Current Portion",'Prior Year Data Pull'!$A$1:$CB$1,0)),"")</f>
        <v>0</v>
      </c>
      <c r="AR78" s="38">
        <f>IFERROR(INDEX('Prior Year Data Pull'!$A$2:$CB$593,MATCH(C78,'Prior Year Data Pull'!$A$2:$A$593,0),MATCH("Total Assets",'Prior Year Data Pull'!$A$1:$CB$1,0)),"")</f>
        <v>0</v>
      </c>
      <c r="AS78" s="38">
        <f>IFERROR(INDEX('Prior Year Data Pull'!$A$2:$CB$593,MATCH(C78,'Prior Year Data Pull'!$A$2:$A$593,0),MATCH("Long Term Debt Net of Current Portion",'Prior Year Data Pull'!$A$1:$CB$1,0)),"")</f>
        <v>0</v>
      </c>
      <c r="AT78" s="38">
        <f>IFERROR(INDEX('Prior Year Data Pull'!$A$2:$CB$593,MATCH(C78,'Prior Year Data Pull'!$A$2:$A$593,0),MATCH("Net Unrestricted Assets",'Prior Year Data Pull'!$A$1:$CB$1,0)),"")</f>
        <v>0</v>
      </c>
      <c r="AU78" s="38">
        <f>IFERROR(INDEX('Prior Year Data Pull'!$A$2:$CB$593,MATCH(C78,'Prior Year Data Pull'!$A$2:$A$593,0),MATCH("Unrealized Gains/Losses",'Prior Year Data Pull'!$A$1:$CB$1,0)),"")</f>
        <v>0</v>
      </c>
      <c r="AV78" s="38">
        <f>IFERROR(INDEX('Prior Year Data Pull'!$A$2:$CB$593,MATCH(C78,'Prior Year Data Pull'!$A$2:$A$593,0),MATCH("Salary and Benefit Expense",'Prior Year Data Pull'!$A$1:$CB$1,0)),"")</f>
        <v>432907000</v>
      </c>
    </row>
    <row r="79" spans="1:48" ht="34.200000000000003" x14ac:dyDescent="0.3">
      <c r="A79" s="46" t="str">
        <f>IFERROR(INDEX('Static Data Tab'!$N$2:$N$610,MATCH(D79,'Static Data Tab'!$D$2:$D$610,0)), "")</f>
        <v>South Coast Health System</v>
      </c>
      <c r="B79" s="46" t="s">
        <v>172</v>
      </c>
      <c r="C79" s="46">
        <v>11497</v>
      </c>
      <c r="D79" s="46">
        <v>4027</v>
      </c>
      <c r="E79" s="46" t="str">
        <f>IFERROR(INDEX('Prior Year Data Pull'!$A$1:$CB$593,MATCH(C79,'Prior Year Data Pull'!$A$1:$A$593,0),MATCH("Organization Type",'Prior Year Data Pull'!$A$1:$CB$1,0)),"")</f>
        <v>PhysicianOrganization</v>
      </c>
      <c r="F79" s="46" t="str">
        <f>IFERROR(INDEX('Static Data Tab'!$E$2:$E$610,MATCH(C79,'Static Data Tab'!$B$2:$B$610,0)), "-")</f>
        <v>-</v>
      </c>
      <c r="G79" s="46" t="str">
        <f>IFERROR(INDEX('Static Data Tab'!$J$2:$J$610,MATCH(C79,'Static Data Tab'!$B$2:$B$610,0)), "")</f>
        <v/>
      </c>
      <c r="H79" s="46" t="str">
        <f>IFERROR(INDEX('Static Data Tab'!$F$2:$F$610,MATCH(C79,'Static Data Tab'!$B$2:$B$610,0)), "")</f>
        <v/>
      </c>
      <c r="I79" s="46" t="str">
        <f>IFERROR(INDEX('Static Data Tab'!$G$2:$G$610,MATCH(C79,'Static Data Tab'!$B$2:$B$610,0)), "")</f>
        <v/>
      </c>
      <c r="J79" s="46" t="str">
        <f>IFERROR(INDEX('Prior Year Data Pull'!$A$2:$CB$593,MATCH(C79,'Prior Year Data Pull'!$A$2:$A$593,0),MATCH("Quarter Range",'Prior Year Data Pull'!$A$1:$CB$1,0)),"")</f>
        <v xml:space="preserve">10/01/2024-09/30/2025
</v>
      </c>
      <c r="K79" s="45">
        <f t="shared" si="13"/>
        <v>-0.23449649229519046</v>
      </c>
      <c r="L79" s="45">
        <f t="shared" si="14"/>
        <v>0</v>
      </c>
      <c r="M79" s="45">
        <f t="shared" si="15"/>
        <v>-0.23449649229519046</v>
      </c>
      <c r="N79" s="47">
        <f t="shared" si="16"/>
        <v>-79235393.379999995</v>
      </c>
      <c r="O79" s="265" t="str">
        <f t="shared" si="17"/>
        <v/>
      </c>
      <c r="P79" s="47">
        <f>IFERROR(INDEX('Prior Year Data Pull'!$A$2:$CB$593,MATCH('Prior Year Data Table'!$C79,'Prior Year Data Pull'!$A$2:$A$593,0),MATCH("Total Net Assets or Equity",'Prior Year Data Pull'!$A$1:$CB$1,0)),"")</f>
        <v>0</v>
      </c>
      <c r="Q79" s="47">
        <f>IFERROR(INDEX('Prior Year Data Pull'!$A$2:$CB$593,MATCH('Prior Year Data Table'!$C79,'Prior Year Data Pull'!$A$2:$A$593,0),MATCH("Total Operating Revenue",'Prior Year Data Pull'!$A$1:$CB$1,0)),"")</f>
        <v>337895857.64999998</v>
      </c>
      <c r="R79" s="47">
        <f>IFERROR(INDEX('Prior Year Data Pull'!$A$2:$CB$593,MATCH('Prior Year Data Table'!$C79,'Prior Year Data Pull'!$A$2:$A$593,0),MATCH("Total Unrestricted Revenue Gains and Other Support",'Prior Year Data Pull'!$A$1:$CB$1,0)),"")</f>
        <v>337895857.64999998</v>
      </c>
      <c r="S79" s="47">
        <f>IFERROR(INDEX('Prior Year TS Data Pull'!$K$2:$K$607,MATCH(C79,'Prior Year TS Data Pull'!$A$2:$A$607,0))+INDEX('Prior Year TS Data Pull'!$O$2:$O$119,MATCH(C79,'Prior Year TS Data Pull'!$A$2:$A$607,0))+INDEX('Prior Year TS Data Pull'!$S$2:$S$119,MATCH(C79,'Prior Year TS Data Pull'!$A$2:$A$607,0)),"")</f>
        <v>7000791.3099999996</v>
      </c>
      <c r="T79" s="47">
        <f>IF(INDEX('Prior Year TS Data Pull'!$A$1:$O$607,MATCH(C79,'Prior Year TS Data Pull'!$A$1:$A$607,0),MATCH("Temporary RN Staffing:
Line Reported on in Standardized Financials",'Prior Year TS Data Pull'!$A$1:$O$1,0))="66.1: Salary and Benefit Expense",'Prior Year Data Table'!$AV79-'Prior Year Data Table'!$S79,0)</f>
        <v>340273498.51999998</v>
      </c>
      <c r="U79" s="47">
        <f>IFERROR(INDEX('Prior Year Data Pull'!$A$2:$CB$593,MATCH(C79,'Prior Year Data Pull'!$A$2:$A$593,0),MATCH("Total Expenses Including Nonrecurring Gains Losses",'Prior Year Data Pull'!$A$1:$CB$1,0)),"")</f>
        <v>417131251.02999997</v>
      </c>
      <c r="V79" s="266">
        <f t="shared" si="18"/>
        <v>0</v>
      </c>
      <c r="W79" s="266">
        <f t="shared" si="19"/>
        <v>0</v>
      </c>
      <c r="X79" s="266">
        <f t="shared" si="20"/>
        <v>0</v>
      </c>
      <c r="Y79" s="45" t="str">
        <f t="shared" si="21"/>
        <v/>
      </c>
      <c r="Z79" s="266">
        <f t="shared" si="22"/>
        <v>0</v>
      </c>
      <c r="AA79" s="265" t="str">
        <f t="shared" si="23"/>
        <v/>
      </c>
      <c r="AB79" s="45" t="str">
        <f t="shared" si="24"/>
        <v/>
      </c>
      <c r="AC79" s="45" t="str">
        <f t="shared" si="25"/>
        <v/>
      </c>
      <c r="AD79" s="47">
        <f>IFERROR(INDEX('Prior Year Data Pull'!$A$2:$CB$593,MATCH(C79,'Prior Year Data Pull'!$A$2:$A$593,0),MATCH("Net Patient Service Revenue",'Prior Year Data Pull'!$A$1:$CB$1,0)),"")</f>
        <v>246857080.96000001</v>
      </c>
      <c r="AE79" s="47">
        <f>IFERROR(INDEX('Prior Year Data Pull'!$A$2:$CB$593,MATCH(C79,'Prior Year Data Pull'!$A$2:$A$593,0),MATCH("Total Current Assets",'Prior Year Data Pull'!$A$1:$CB$1,0)),"")</f>
        <v>0</v>
      </c>
      <c r="AF79" s="47">
        <f>IFERROR(INDEX('Prior Year Data Pull'!$A$2:$CB$593,MATCH(C79,'Prior Year Data Pull'!$A$2:$A$593,0),MATCH("Total Current Liabilities",'Prior Year Data Pull'!$A$1:$CB$1,0)),"")</f>
        <v>0</v>
      </c>
      <c r="AG79" s="47">
        <f>IFERROR(INDEX('Prior Year Data Pull'!$A$2:$CB$593,MATCH(C79,'Prior Year Data Pull'!$A$2:$A$593,0),MATCH("Total Non Operating Revenue",'Prior Year Data Pull'!$A$1:$CB$1,0)),"")</f>
        <v>0</v>
      </c>
      <c r="AH79" s="47">
        <f>IFERROR(INDEX('Prior Year Data Pull'!$A$2:$CB$593,MATCH(C79,'Prior Year Data Pull'!$A$2:$A$593,0),MATCH("Less Accumulated Depreciation",'Prior Year Data Pull'!$A$1:$CB$1,0)),"")</f>
        <v>0</v>
      </c>
      <c r="AI79" s="47">
        <f>IFERROR(INDEX('Prior Year Data Pull'!$A$2:$CB$593,MATCH(C79,'Prior Year Data Pull'!$A$2:$A$593,0),MATCH("Depreciation and Amortization Expense",'Prior Year Data Pull'!$A$1:$CB$1,0)),"")</f>
        <v>3104310.66</v>
      </c>
      <c r="AJ79" s="47">
        <f>IFERROR(INDEX('Prior Year Data Pull'!$A$2:$CB$593,MATCH(C79,'Prior Year Data Pull'!$A$2:$A$593,0),MATCH("Net Patient Accounts Receivable",'Prior Year Data Pull'!$A$1:$CB$1,0)),"")</f>
        <v>0</v>
      </c>
      <c r="AK79" s="46">
        <v>365</v>
      </c>
      <c r="AL79" s="47">
        <f>IFERROR(INDEX('Prior Year Data Pull'!$A$2:$CB$593,MATCH(C79,'Prior Year Data Pull'!$A$2:$A$593,0),MATCH("Estimated Third Party Settlements",'Prior Year Data Pull'!$A$1:$CB$1,0)),"")</f>
        <v>0</v>
      </c>
      <c r="AM79" s="47">
        <f>IFERROR(INDEX('Prior Year Data Pull'!$A$2:$CB$593,MATCH(C79,'Prior Year Data Pull'!$A$2:$A$593,0),MATCH("Current Liabilities due to Affiliates",'Prior Year Data Pull'!$A$1:$CB$1,0)),"")</f>
        <v>0</v>
      </c>
      <c r="AN79" s="47">
        <f>IFERROR(INDEX('Prior Year Data Pull'!$A$2:$CB$593,MATCH(C79,'Prior Year Data Pull'!$A$2:$A$593,0),MATCH("Short Term Investments",'Prior Year Data Pull'!$A$1:$CB$1,0)),"")</f>
        <v>0</v>
      </c>
      <c r="AO79" s="47">
        <f>IFERROR(INDEX('Prior Year Data Pull'!$A$2:$CB$593,MATCH(C79,'Prior Year Data Pull'!$A$2:$A$593,0),MATCH("Cash and Cash Equivalents",'Prior Year Data Pull'!$A$1:$CB$1,0)),"")</f>
        <v>0</v>
      </c>
      <c r="AP79" s="47">
        <f>IFERROR(INDEX('Prior Year Data Pull'!$A$2:$CB$593,MATCH(C79,'Prior Year Data Pull'!$A$2:$A$593,0),MATCH("Interest Expense",'Prior Year Data Pull'!$A$1:$CB$1,0)),"")</f>
        <v>0</v>
      </c>
      <c r="AQ79" s="47">
        <f>IFERROR(INDEX('Prior Year Data Pull'!$A$2:$CB$593,MATCH(C79,'Prior Year Data Pull'!$A$2:$A$593,0),MATCH("Long Term Debt Net of Current Portion",'Prior Year Data Pull'!$A$1:$CB$1,0)),"")</f>
        <v>0</v>
      </c>
      <c r="AR79" s="47">
        <f>IFERROR(INDEX('Prior Year Data Pull'!$A$2:$CB$593,MATCH(C79,'Prior Year Data Pull'!$A$2:$A$593,0),MATCH("Total Assets",'Prior Year Data Pull'!$A$1:$CB$1,0)),"")</f>
        <v>0</v>
      </c>
      <c r="AS79" s="47">
        <f>IFERROR(INDEX('Prior Year Data Pull'!$A$2:$CB$593,MATCH(C79,'Prior Year Data Pull'!$A$2:$A$593,0),MATCH("Long Term Debt Net of Current Portion",'Prior Year Data Pull'!$A$1:$CB$1,0)),"")</f>
        <v>0</v>
      </c>
      <c r="AT79" s="47">
        <f>IFERROR(INDEX('Prior Year Data Pull'!$A$2:$CB$593,MATCH(C79,'Prior Year Data Pull'!$A$2:$A$593,0),MATCH("Net Unrestricted Assets",'Prior Year Data Pull'!$A$1:$CB$1,0)),"")</f>
        <v>0</v>
      </c>
      <c r="AU79" s="47">
        <f>IFERROR(INDEX('Prior Year Data Pull'!$A$2:$CB$593,MATCH(C79,'Prior Year Data Pull'!$A$2:$A$593,0),MATCH("Unrealized Gains/Losses",'Prior Year Data Pull'!$A$1:$CB$1,0)),"")</f>
        <v>0</v>
      </c>
      <c r="AV79" s="47">
        <f>IFERROR(INDEX('Prior Year Data Pull'!$A$2:$CB$593,MATCH(C79,'Prior Year Data Pull'!$A$2:$A$593,0),MATCH("Salary and Benefit Expense",'Prior Year Data Pull'!$A$1:$CB$1,0)),"")</f>
        <v>347274289.82999998</v>
      </c>
    </row>
    <row r="80" spans="1:48" ht="34.200000000000003" x14ac:dyDescent="0.3">
      <c r="A80" s="14" t="str">
        <f>IFERROR(INDEX('Static Data Tab'!$N$2:$N$610,MATCH(D80,'Static Data Tab'!$D$2:$D$610,0)), "")</f>
        <v>Beth Israel Lahey Health</v>
      </c>
      <c r="B80" s="14" t="s">
        <v>103</v>
      </c>
      <c r="C80" s="14">
        <v>11761</v>
      </c>
      <c r="D80" s="14">
        <v>16665</v>
      </c>
      <c r="E80" s="14" t="str">
        <f>IFERROR(INDEX('Prior Year Data Pull'!$A$1:$CB$593,MATCH(C80,'Prior Year Data Pull'!$A$1:$A$593,0),MATCH("Organization Type",'Prior Year Data Pull'!$A$1:$CB$1,0)),"")</f>
        <v>PhysicianOrganization</v>
      </c>
      <c r="F80" s="14" t="str">
        <f>IFERROR(INDEX('Static Data Tab'!$E$2:$E$610,MATCH(C80,'Static Data Tab'!$B$2:$B$610,0)), "-")</f>
        <v>-</v>
      </c>
      <c r="G80" s="14" t="str">
        <f>IFERROR(INDEX('Static Data Tab'!$J$2:$J$610,MATCH(C80,'Static Data Tab'!$B$2:$B$610,0)), "")</f>
        <v/>
      </c>
      <c r="H80" s="14" t="str">
        <f>IFERROR(INDEX('Static Data Tab'!$F$2:$F$610,MATCH(C80,'Static Data Tab'!$B$2:$B$610,0)), "")</f>
        <v/>
      </c>
      <c r="I80" s="14" t="str">
        <f>IFERROR(INDEX('Static Data Tab'!$G$2:$G$610,MATCH(C80,'Static Data Tab'!$B$2:$B$610,0)), "")</f>
        <v/>
      </c>
      <c r="J80" s="14" t="str">
        <f>IFERROR(INDEX('Prior Year Data Pull'!$A$2:$CB$593,MATCH(C80,'Prior Year Data Pull'!$A$2:$A$593,0),MATCH("Quarter Range",'Prior Year Data Pull'!$A$1:$CB$1,0)),"")</f>
        <v xml:space="preserve">10/01/2024-09/30/2025
</v>
      </c>
      <c r="K80" s="37">
        <f t="shared" si="13"/>
        <v>-1.5855887521968366</v>
      </c>
      <c r="L80" s="37">
        <f t="shared" si="14"/>
        <v>0</v>
      </c>
      <c r="M80" s="37">
        <f t="shared" si="15"/>
        <v>-1.5855887521968366</v>
      </c>
      <c r="N80" s="38">
        <f t="shared" si="16"/>
        <v>-4511000</v>
      </c>
      <c r="O80" s="39" t="str">
        <f t="shared" si="17"/>
        <v/>
      </c>
      <c r="P80" s="38">
        <f>IFERROR(INDEX('Prior Year Data Pull'!$A$2:$CB$593,MATCH('Prior Year Data Table'!$C80,'Prior Year Data Pull'!$A$2:$A$593,0),MATCH("Total Net Assets or Equity",'Prior Year Data Pull'!$A$1:$CB$1,0)),"")</f>
        <v>0</v>
      </c>
      <c r="Q80" s="38">
        <f>IFERROR(INDEX('Prior Year Data Pull'!$A$2:$CB$593,MATCH('Prior Year Data Table'!$C80,'Prior Year Data Pull'!$A$2:$A$593,0),MATCH("Total Operating Revenue",'Prior Year Data Pull'!$A$1:$CB$1,0)),"")</f>
        <v>2845000</v>
      </c>
      <c r="R80" s="38">
        <f>IFERROR(INDEX('Prior Year Data Pull'!$A$2:$CB$593,MATCH('Prior Year Data Table'!$C80,'Prior Year Data Pull'!$A$2:$A$593,0),MATCH("Total Unrestricted Revenue Gains and Other Support",'Prior Year Data Pull'!$A$1:$CB$1,0)),"")</f>
        <v>2845000</v>
      </c>
      <c r="S80" s="38">
        <f>IFERROR(INDEX('Prior Year TS Data Pull'!$K$2:$K$607,MATCH(C80,'Prior Year TS Data Pull'!$A$2:$A$607,0))+INDEX('Prior Year TS Data Pull'!$O$2:$O$119,MATCH(C80,'Prior Year TS Data Pull'!$A$2:$A$607,0))+INDEX('Prior Year TS Data Pull'!$S$2:$S$119,MATCH(C80,'Prior Year TS Data Pull'!$A$2:$A$607,0)),"")</f>
        <v>0</v>
      </c>
      <c r="T80" s="38">
        <f>IF(INDEX('Prior Year TS Data Pull'!$A$1:$O$607,MATCH(C80,'Prior Year TS Data Pull'!$A$1:$A$607,0),MATCH("Temporary RN Staffing:
Line Reported on in Standardized Financials",'Prior Year TS Data Pull'!$A$1:$O$1,0))="66.1: Salary and Benefit Expense",'Prior Year Data Table'!$AV80-'Prior Year Data Table'!$S80,0)</f>
        <v>5981000</v>
      </c>
      <c r="U80" s="38">
        <f>IFERROR(INDEX('Prior Year Data Pull'!$A$2:$CB$593,MATCH(C80,'Prior Year Data Pull'!$A$2:$A$593,0),MATCH("Total Expenses Including Nonrecurring Gains Losses",'Prior Year Data Pull'!$A$1:$CB$1,0)),"")</f>
        <v>7356000</v>
      </c>
      <c r="V80" s="41">
        <f t="shared" si="18"/>
        <v>0</v>
      </c>
      <c r="W80" s="41">
        <f t="shared" si="19"/>
        <v>0</v>
      </c>
      <c r="X80" s="41">
        <f t="shared" si="20"/>
        <v>0</v>
      </c>
      <c r="Y80" s="37" t="str">
        <f t="shared" si="21"/>
        <v/>
      </c>
      <c r="Z80" s="41">
        <f t="shared" si="22"/>
        <v>0</v>
      </c>
      <c r="AA80" s="39" t="str">
        <f t="shared" si="23"/>
        <v/>
      </c>
      <c r="AB80" s="37" t="str">
        <f t="shared" si="24"/>
        <v/>
      </c>
      <c r="AC80" s="37" t="str">
        <f t="shared" si="25"/>
        <v/>
      </c>
      <c r="AD80" s="38">
        <f>IFERROR(INDEX('Prior Year Data Pull'!$A$2:$CB$593,MATCH(C80,'Prior Year Data Pull'!$A$2:$A$593,0),MATCH("Net Patient Service Revenue",'Prior Year Data Pull'!$A$1:$CB$1,0)),"")</f>
        <v>2590000</v>
      </c>
      <c r="AE80" s="38">
        <f>IFERROR(INDEX('Prior Year Data Pull'!$A$2:$CB$593,MATCH(C80,'Prior Year Data Pull'!$A$2:$A$593,0),MATCH("Total Current Assets",'Prior Year Data Pull'!$A$1:$CB$1,0)),"")</f>
        <v>0</v>
      </c>
      <c r="AF80" s="38">
        <f>IFERROR(INDEX('Prior Year Data Pull'!$A$2:$CB$593,MATCH(C80,'Prior Year Data Pull'!$A$2:$A$593,0),MATCH("Total Current Liabilities",'Prior Year Data Pull'!$A$1:$CB$1,0)),"")</f>
        <v>0</v>
      </c>
      <c r="AG80" s="38">
        <f>IFERROR(INDEX('Prior Year Data Pull'!$A$2:$CB$593,MATCH(C80,'Prior Year Data Pull'!$A$2:$A$593,0),MATCH("Total Non Operating Revenue",'Prior Year Data Pull'!$A$1:$CB$1,0)),"")</f>
        <v>0</v>
      </c>
      <c r="AH80" s="38">
        <f>IFERROR(INDEX('Prior Year Data Pull'!$A$2:$CB$593,MATCH(C80,'Prior Year Data Pull'!$A$2:$A$593,0),MATCH("Less Accumulated Depreciation",'Prior Year Data Pull'!$A$1:$CB$1,0)),"")</f>
        <v>0</v>
      </c>
      <c r="AI80" s="38">
        <f>IFERROR(INDEX('Prior Year Data Pull'!$A$2:$CB$593,MATCH(C80,'Prior Year Data Pull'!$A$2:$A$593,0),MATCH("Depreciation and Amortization Expense",'Prior Year Data Pull'!$A$1:$CB$1,0)),"")</f>
        <v>45000</v>
      </c>
      <c r="AJ80" s="38">
        <f>IFERROR(INDEX('Prior Year Data Pull'!$A$2:$CB$593,MATCH(C80,'Prior Year Data Pull'!$A$2:$A$593,0),MATCH("Net Patient Accounts Receivable",'Prior Year Data Pull'!$A$1:$CB$1,0)),"")</f>
        <v>0</v>
      </c>
      <c r="AK80" s="14">
        <v>365</v>
      </c>
      <c r="AL80" s="38">
        <f>IFERROR(INDEX('Prior Year Data Pull'!$A$2:$CB$593,MATCH(C80,'Prior Year Data Pull'!$A$2:$A$593,0),MATCH("Estimated Third Party Settlements",'Prior Year Data Pull'!$A$1:$CB$1,0)),"")</f>
        <v>0</v>
      </c>
      <c r="AM80" s="38">
        <f>IFERROR(INDEX('Prior Year Data Pull'!$A$2:$CB$593,MATCH(C80,'Prior Year Data Pull'!$A$2:$A$593,0),MATCH("Current Liabilities due to Affiliates",'Prior Year Data Pull'!$A$1:$CB$1,0)),"")</f>
        <v>0</v>
      </c>
      <c r="AN80" s="38">
        <f>IFERROR(INDEX('Prior Year Data Pull'!$A$2:$CB$593,MATCH(C80,'Prior Year Data Pull'!$A$2:$A$593,0),MATCH("Short Term Investments",'Prior Year Data Pull'!$A$1:$CB$1,0)),"")</f>
        <v>0</v>
      </c>
      <c r="AO80" s="38">
        <f>IFERROR(INDEX('Prior Year Data Pull'!$A$2:$CB$593,MATCH(C80,'Prior Year Data Pull'!$A$2:$A$593,0),MATCH("Cash and Cash Equivalents",'Prior Year Data Pull'!$A$1:$CB$1,0)),"")</f>
        <v>0</v>
      </c>
      <c r="AP80" s="38">
        <f>IFERROR(INDEX('Prior Year Data Pull'!$A$2:$CB$593,MATCH(C80,'Prior Year Data Pull'!$A$2:$A$593,0),MATCH("Interest Expense",'Prior Year Data Pull'!$A$1:$CB$1,0)),"")</f>
        <v>0</v>
      </c>
      <c r="AQ80" s="38">
        <f>IFERROR(INDEX('Prior Year Data Pull'!$A$2:$CB$593,MATCH(C80,'Prior Year Data Pull'!$A$2:$A$593,0),MATCH("Long Term Debt Net of Current Portion",'Prior Year Data Pull'!$A$1:$CB$1,0)),"")</f>
        <v>0</v>
      </c>
      <c r="AR80" s="38">
        <f>IFERROR(INDEX('Prior Year Data Pull'!$A$2:$CB$593,MATCH(C80,'Prior Year Data Pull'!$A$2:$A$593,0),MATCH("Total Assets",'Prior Year Data Pull'!$A$1:$CB$1,0)),"")</f>
        <v>0</v>
      </c>
      <c r="AS80" s="38">
        <f>IFERROR(INDEX('Prior Year Data Pull'!$A$2:$CB$593,MATCH(C80,'Prior Year Data Pull'!$A$2:$A$593,0),MATCH("Long Term Debt Net of Current Portion",'Prior Year Data Pull'!$A$1:$CB$1,0)),"")</f>
        <v>0</v>
      </c>
      <c r="AT80" s="38">
        <f>IFERROR(INDEX('Prior Year Data Pull'!$A$2:$CB$593,MATCH(C80,'Prior Year Data Pull'!$A$2:$A$593,0),MATCH("Net Unrestricted Assets",'Prior Year Data Pull'!$A$1:$CB$1,0)),"")</f>
        <v>0</v>
      </c>
      <c r="AU80" s="38">
        <f>IFERROR(INDEX('Prior Year Data Pull'!$A$2:$CB$593,MATCH(C80,'Prior Year Data Pull'!$A$2:$A$593,0),MATCH("Unrealized Gains/Losses",'Prior Year Data Pull'!$A$1:$CB$1,0)),"")</f>
        <v>0</v>
      </c>
      <c r="AV80" s="38">
        <f>IFERROR(INDEX('Prior Year Data Pull'!$A$2:$CB$593,MATCH(C80,'Prior Year Data Pull'!$A$2:$A$593,0),MATCH("Salary and Benefit Expense",'Prior Year Data Pull'!$A$1:$CB$1,0)),"")</f>
        <v>5981000</v>
      </c>
    </row>
    <row r="81" spans="1:48" ht="34.200000000000003" x14ac:dyDescent="0.3">
      <c r="A81" s="46" t="str">
        <f>IFERROR(INDEX('Static Data Tab'!$N$2:$N$610,MATCH(D81,'Static Data Tab'!$D$2:$D$610,0)), "")</f>
        <v>Berkshire Health Systems</v>
      </c>
      <c r="B81" s="46" t="s">
        <v>88</v>
      </c>
      <c r="C81" s="46">
        <v>11794</v>
      </c>
      <c r="D81" s="46">
        <v>3106</v>
      </c>
      <c r="E81" s="46" t="str">
        <f>IFERROR(INDEX('Prior Year Data Pull'!$A$1:$CB$593,MATCH(C81,'Prior Year Data Pull'!$A$1:$A$593,0),MATCH("Organization Type",'Prior Year Data Pull'!$A$1:$CB$1,0)),"")</f>
        <v>PhysicianOrganization</v>
      </c>
      <c r="F81" s="46" t="str">
        <f>IFERROR(INDEX('Static Data Tab'!$E$2:$E$610,MATCH(C81,'Static Data Tab'!$B$2:$B$610,0)), "-")</f>
        <v>-</v>
      </c>
      <c r="G81" s="46" t="str">
        <f>IFERROR(INDEX('Static Data Tab'!$J$2:$J$610,MATCH(C81,'Static Data Tab'!$B$2:$B$610,0)), "")</f>
        <v/>
      </c>
      <c r="H81" s="46" t="str">
        <f>IFERROR(INDEX('Static Data Tab'!$F$2:$F$610,MATCH(C81,'Static Data Tab'!$B$2:$B$610,0)), "")</f>
        <v/>
      </c>
      <c r="I81" s="46" t="str">
        <f>IFERROR(INDEX('Static Data Tab'!$G$2:$G$610,MATCH(C81,'Static Data Tab'!$B$2:$B$610,0)), "")</f>
        <v/>
      </c>
      <c r="J81" s="46" t="str">
        <f>IFERROR(INDEX('Prior Year Data Pull'!$A$2:$CB$593,MATCH(C81,'Prior Year Data Pull'!$A$2:$A$593,0),MATCH("Quarter Range",'Prior Year Data Pull'!$A$1:$CB$1,0)),"")</f>
        <v xml:space="preserve">10/01/2024-09/30/2025
</v>
      </c>
      <c r="K81" s="45">
        <f t="shared" si="13"/>
        <v>-0.70400214072787104</v>
      </c>
      <c r="L81" s="45">
        <f t="shared" si="14"/>
        <v>0</v>
      </c>
      <c r="M81" s="45">
        <f t="shared" si="15"/>
        <v>-0.70400214072787104</v>
      </c>
      <c r="N81" s="47">
        <f t="shared" si="16"/>
        <v>-42375727</v>
      </c>
      <c r="O81" s="265" t="str">
        <f t="shared" si="17"/>
        <v/>
      </c>
      <c r="P81" s="47">
        <f>IFERROR(INDEX('Prior Year Data Pull'!$A$2:$CB$593,MATCH('Prior Year Data Table'!$C81,'Prior Year Data Pull'!$A$2:$A$593,0),MATCH("Total Net Assets or Equity",'Prior Year Data Pull'!$A$1:$CB$1,0)),"")</f>
        <v>0</v>
      </c>
      <c r="Q81" s="47">
        <f>IFERROR(INDEX('Prior Year Data Pull'!$A$2:$CB$593,MATCH('Prior Year Data Table'!$C81,'Prior Year Data Pull'!$A$2:$A$593,0),MATCH("Total Operating Revenue",'Prior Year Data Pull'!$A$1:$CB$1,0)),"")</f>
        <v>60192611</v>
      </c>
      <c r="R81" s="47">
        <f>IFERROR(INDEX('Prior Year Data Pull'!$A$2:$CB$593,MATCH('Prior Year Data Table'!$C81,'Prior Year Data Pull'!$A$2:$A$593,0),MATCH("Total Unrestricted Revenue Gains and Other Support",'Prior Year Data Pull'!$A$1:$CB$1,0)),"")</f>
        <v>60192611</v>
      </c>
      <c r="S81" s="47">
        <f>IFERROR(INDEX('Prior Year TS Data Pull'!$K$2:$K$607,MATCH(C81,'Prior Year TS Data Pull'!$A$2:$A$607,0))+INDEX('Prior Year TS Data Pull'!$O$2:$O$119,MATCH(C81,'Prior Year TS Data Pull'!$A$2:$A$607,0))+INDEX('Prior Year TS Data Pull'!$S$2:$S$119,MATCH(C81,'Prior Year TS Data Pull'!$A$2:$A$607,0)),"")</f>
        <v>5970520.2699999996</v>
      </c>
      <c r="T81" s="47">
        <f>IF(INDEX('Prior Year TS Data Pull'!$A$1:$O$607,MATCH(C81,'Prior Year TS Data Pull'!$A$1:$A$607,0),MATCH("Temporary RN Staffing:
Line Reported on in Standardized Financials",'Prior Year TS Data Pull'!$A$1:$O$1,0))="66.1: Salary and Benefit Expense",'Prior Year Data Table'!$AV81-'Prior Year Data Table'!$S81,0)</f>
        <v>0</v>
      </c>
      <c r="U81" s="47">
        <f>IFERROR(INDEX('Prior Year Data Pull'!$A$2:$CB$593,MATCH(C81,'Prior Year Data Pull'!$A$2:$A$593,0),MATCH("Total Expenses Including Nonrecurring Gains Losses",'Prior Year Data Pull'!$A$1:$CB$1,0)),"")</f>
        <v>102568338</v>
      </c>
      <c r="V81" s="266" t="str">
        <f t="shared" si="18"/>
        <v/>
      </c>
      <c r="W81" s="266">
        <f t="shared" si="19"/>
        <v>0</v>
      </c>
      <c r="X81" s="266">
        <f t="shared" si="20"/>
        <v>0</v>
      </c>
      <c r="Y81" s="45" t="str">
        <f t="shared" si="21"/>
        <v/>
      </c>
      <c r="Z81" s="266">
        <f t="shared" si="22"/>
        <v>0</v>
      </c>
      <c r="AA81" s="265" t="str">
        <f t="shared" si="23"/>
        <v/>
      </c>
      <c r="AB81" s="45" t="str">
        <f t="shared" si="24"/>
        <v/>
      </c>
      <c r="AC81" s="45" t="str">
        <f t="shared" si="25"/>
        <v/>
      </c>
      <c r="AD81" s="47">
        <f>IFERROR(INDEX('Prior Year Data Pull'!$A$2:$CB$593,MATCH(C81,'Prior Year Data Pull'!$A$2:$A$593,0),MATCH("Net Patient Service Revenue",'Prior Year Data Pull'!$A$1:$CB$1,0)),"")</f>
        <v>52843842</v>
      </c>
      <c r="AE81" s="47">
        <f>IFERROR(INDEX('Prior Year Data Pull'!$A$2:$CB$593,MATCH(C81,'Prior Year Data Pull'!$A$2:$A$593,0),MATCH("Total Current Assets",'Prior Year Data Pull'!$A$1:$CB$1,0)),"")</f>
        <v>0</v>
      </c>
      <c r="AF81" s="47">
        <f>IFERROR(INDEX('Prior Year Data Pull'!$A$2:$CB$593,MATCH(C81,'Prior Year Data Pull'!$A$2:$A$593,0),MATCH("Total Current Liabilities",'Prior Year Data Pull'!$A$1:$CB$1,0)),"")</f>
        <v>0</v>
      </c>
      <c r="AG81" s="47">
        <f>IFERROR(INDEX('Prior Year Data Pull'!$A$2:$CB$593,MATCH(C81,'Prior Year Data Pull'!$A$2:$A$593,0),MATCH("Total Non Operating Revenue",'Prior Year Data Pull'!$A$1:$CB$1,0)),"")</f>
        <v>0</v>
      </c>
      <c r="AH81" s="47">
        <f>IFERROR(INDEX('Prior Year Data Pull'!$A$2:$CB$593,MATCH(C81,'Prior Year Data Pull'!$A$2:$A$593,0),MATCH("Less Accumulated Depreciation",'Prior Year Data Pull'!$A$1:$CB$1,0)),"")</f>
        <v>0</v>
      </c>
      <c r="AI81" s="47">
        <f>IFERROR(INDEX('Prior Year Data Pull'!$A$2:$CB$593,MATCH(C81,'Prior Year Data Pull'!$A$2:$A$593,0),MATCH("Depreciation and Amortization Expense",'Prior Year Data Pull'!$A$1:$CB$1,0)),"")</f>
        <v>0</v>
      </c>
      <c r="AJ81" s="47">
        <f>IFERROR(INDEX('Prior Year Data Pull'!$A$2:$CB$593,MATCH(C81,'Prior Year Data Pull'!$A$2:$A$593,0),MATCH("Net Patient Accounts Receivable",'Prior Year Data Pull'!$A$1:$CB$1,0)),"")</f>
        <v>0</v>
      </c>
      <c r="AK81" s="46">
        <v>365</v>
      </c>
      <c r="AL81" s="47">
        <f>IFERROR(INDEX('Prior Year Data Pull'!$A$2:$CB$593,MATCH(C81,'Prior Year Data Pull'!$A$2:$A$593,0),MATCH("Estimated Third Party Settlements",'Prior Year Data Pull'!$A$1:$CB$1,0)),"")</f>
        <v>0</v>
      </c>
      <c r="AM81" s="47">
        <f>IFERROR(INDEX('Prior Year Data Pull'!$A$2:$CB$593,MATCH(C81,'Prior Year Data Pull'!$A$2:$A$593,0),MATCH("Current Liabilities due to Affiliates",'Prior Year Data Pull'!$A$1:$CB$1,0)),"")</f>
        <v>0</v>
      </c>
      <c r="AN81" s="47">
        <f>IFERROR(INDEX('Prior Year Data Pull'!$A$2:$CB$593,MATCH(C81,'Prior Year Data Pull'!$A$2:$A$593,0),MATCH("Short Term Investments",'Prior Year Data Pull'!$A$1:$CB$1,0)),"")</f>
        <v>0</v>
      </c>
      <c r="AO81" s="47">
        <f>IFERROR(INDEX('Prior Year Data Pull'!$A$2:$CB$593,MATCH(C81,'Prior Year Data Pull'!$A$2:$A$593,0),MATCH("Cash and Cash Equivalents",'Prior Year Data Pull'!$A$1:$CB$1,0)),"")</f>
        <v>0</v>
      </c>
      <c r="AP81" s="47">
        <f>IFERROR(INDEX('Prior Year Data Pull'!$A$2:$CB$593,MATCH(C81,'Prior Year Data Pull'!$A$2:$A$593,0),MATCH("Interest Expense",'Prior Year Data Pull'!$A$1:$CB$1,0)),"")</f>
        <v>0</v>
      </c>
      <c r="AQ81" s="47">
        <f>IFERROR(INDEX('Prior Year Data Pull'!$A$2:$CB$593,MATCH(C81,'Prior Year Data Pull'!$A$2:$A$593,0),MATCH("Long Term Debt Net of Current Portion",'Prior Year Data Pull'!$A$1:$CB$1,0)),"")</f>
        <v>0</v>
      </c>
      <c r="AR81" s="47">
        <f>IFERROR(INDEX('Prior Year Data Pull'!$A$2:$CB$593,MATCH(C81,'Prior Year Data Pull'!$A$2:$A$593,0),MATCH("Total Assets",'Prior Year Data Pull'!$A$1:$CB$1,0)),"")</f>
        <v>0</v>
      </c>
      <c r="AS81" s="47">
        <f>IFERROR(INDEX('Prior Year Data Pull'!$A$2:$CB$593,MATCH(C81,'Prior Year Data Pull'!$A$2:$A$593,0),MATCH("Long Term Debt Net of Current Portion",'Prior Year Data Pull'!$A$1:$CB$1,0)),"")</f>
        <v>0</v>
      </c>
      <c r="AT81" s="47">
        <f>IFERROR(INDEX('Prior Year Data Pull'!$A$2:$CB$593,MATCH(C81,'Prior Year Data Pull'!$A$2:$A$593,0),MATCH("Net Unrestricted Assets",'Prior Year Data Pull'!$A$1:$CB$1,0)),"")</f>
        <v>0</v>
      </c>
      <c r="AU81" s="47">
        <f>IFERROR(INDEX('Prior Year Data Pull'!$A$2:$CB$593,MATCH(C81,'Prior Year Data Pull'!$A$2:$A$593,0),MATCH("Unrealized Gains/Losses",'Prior Year Data Pull'!$A$1:$CB$1,0)),"")</f>
        <v>0</v>
      </c>
      <c r="AV81" s="47">
        <f>IFERROR(INDEX('Prior Year Data Pull'!$A$2:$CB$593,MATCH(C81,'Prior Year Data Pull'!$A$2:$A$593,0),MATCH("Salary and Benefit Expense",'Prior Year Data Pull'!$A$1:$CB$1,0)),"")</f>
        <v>73471356</v>
      </c>
    </row>
    <row r="82" spans="1:48" ht="34.200000000000003" x14ac:dyDescent="0.3">
      <c r="A82" s="14" t="str">
        <f>IFERROR(INDEX('Static Data Tab'!$N$2:$N$610,MATCH(D82,'Static Data Tab'!$D$2:$D$610,0)), "")</f>
        <v>Beth Israel Lahey Health</v>
      </c>
      <c r="B82" s="14" t="s">
        <v>102</v>
      </c>
      <c r="C82" s="14">
        <v>11801</v>
      </c>
      <c r="D82" s="14">
        <v>16665</v>
      </c>
      <c r="E82" s="14" t="str">
        <f>IFERROR(INDEX('Prior Year Data Pull'!$A$1:$CB$593,MATCH(C82,'Prior Year Data Pull'!$A$1:$A$593,0),MATCH("Organization Type",'Prior Year Data Pull'!$A$1:$CB$1,0)),"")</f>
        <v>PhysicianOrganization</v>
      </c>
      <c r="F82" s="14" t="str">
        <f>IFERROR(INDEX('Static Data Tab'!$E$2:$E$610,MATCH(C82,'Static Data Tab'!$B$2:$B$610,0)), "-")</f>
        <v>-</v>
      </c>
      <c r="G82" s="14" t="str">
        <f>IFERROR(INDEX('Static Data Tab'!$J$2:$J$610,MATCH(C82,'Static Data Tab'!$B$2:$B$610,0)), "")</f>
        <v/>
      </c>
      <c r="H82" s="14" t="str">
        <f>IFERROR(INDEX('Static Data Tab'!$F$2:$F$610,MATCH(C82,'Static Data Tab'!$B$2:$B$610,0)), "")</f>
        <v/>
      </c>
      <c r="I82" s="14" t="str">
        <f>IFERROR(INDEX('Static Data Tab'!$G$2:$G$610,MATCH(C82,'Static Data Tab'!$B$2:$B$610,0)), "")</f>
        <v/>
      </c>
      <c r="J82" s="14" t="str">
        <f>IFERROR(INDEX('Prior Year Data Pull'!$A$2:$CB$593,MATCH(C82,'Prior Year Data Pull'!$A$2:$A$593,0),MATCH("Quarter Range",'Prior Year Data Pull'!$A$1:$CB$1,0)),"")</f>
        <v xml:space="preserve">10/01/2024-09/30/2025
</v>
      </c>
      <c r="K82" s="37">
        <f t="shared" si="13"/>
        <v>-0.40708650271554903</v>
      </c>
      <c r="L82" s="37">
        <f t="shared" si="14"/>
        <v>0</v>
      </c>
      <c r="M82" s="37">
        <f t="shared" si="15"/>
        <v>-0.40708650271554903</v>
      </c>
      <c r="N82" s="38">
        <f t="shared" si="16"/>
        <v>-54642000</v>
      </c>
      <c r="O82" s="39" t="str">
        <f t="shared" si="17"/>
        <v/>
      </c>
      <c r="P82" s="38">
        <f>IFERROR(INDEX('Prior Year Data Pull'!$A$2:$CB$593,MATCH('Prior Year Data Table'!$C82,'Prior Year Data Pull'!$A$2:$A$593,0),MATCH("Total Net Assets or Equity",'Prior Year Data Pull'!$A$1:$CB$1,0)),"")</f>
        <v>0</v>
      </c>
      <c r="Q82" s="38">
        <f>IFERROR(INDEX('Prior Year Data Pull'!$A$2:$CB$593,MATCH('Prior Year Data Table'!$C82,'Prior Year Data Pull'!$A$2:$A$593,0),MATCH("Total Operating Revenue",'Prior Year Data Pull'!$A$1:$CB$1,0)),"")</f>
        <v>134227000</v>
      </c>
      <c r="R82" s="38">
        <f>IFERROR(INDEX('Prior Year Data Pull'!$A$2:$CB$593,MATCH('Prior Year Data Table'!$C82,'Prior Year Data Pull'!$A$2:$A$593,0),MATCH("Total Unrestricted Revenue Gains and Other Support",'Prior Year Data Pull'!$A$1:$CB$1,0)),"")</f>
        <v>134227000</v>
      </c>
      <c r="S82" s="38">
        <f>IFERROR(INDEX('Prior Year TS Data Pull'!$K$2:$K$607,MATCH(C82,'Prior Year TS Data Pull'!$A$2:$A$607,0))+INDEX('Prior Year TS Data Pull'!$O$2:$O$119,MATCH(C82,'Prior Year TS Data Pull'!$A$2:$A$607,0))+INDEX('Prior Year TS Data Pull'!$S$2:$S$119,MATCH(C82,'Prior Year TS Data Pull'!$A$2:$A$607,0)),"")</f>
        <v>286594.27</v>
      </c>
      <c r="T82" s="38">
        <f>IF(INDEX('Prior Year TS Data Pull'!$A$1:$O$607,MATCH(C82,'Prior Year TS Data Pull'!$A$1:$A$607,0),MATCH("Temporary RN Staffing:
Line Reported on in Standardized Financials",'Prior Year TS Data Pull'!$A$1:$O$1,0))="66.1: Salary and Benefit Expense",'Prior Year Data Table'!$AV82-'Prior Year Data Table'!$S82,0)</f>
        <v>144931405.72999999</v>
      </c>
      <c r="U82" s="38">
        <f>IFERROR(INDEX('Prior Year Data Pull'!$A$2:$CB$593,MATCH(C82,'Prior Year Data Pull'!$A$2:$A$593,0),MATCH("Total Expenses Including Nonrecurring Gains Losses",'Prior Year Data Pull'!$A$1:$CB$1,0)),"")</f>
        <v>188869000</v>
      </c>
      <c r="V82" s="41">
        <f t="shared" si="18"/>
        <v>0</v>
      </c>
      <c r="W82" s="41">
        <f t="shared" si="19"/>
        <v>0</v>
      </c>
      <c r="X82" s="41">
        <f t="shared" si="20"/>
        <v>0</v>
      </c>
      <c r="Y82" s="37" t="str">
        <f t="shared" si="21"/>
        <v/>
      </c>
      <c r="Z82" s="41">
        <f t="shared" si="22"/>
        <v>0</v>
      </c>
      <c r="AA82" s="39" t="str">
        <f t="shared" si="23"/>
        <v/>
      </c>
      <c r="AB82" s="37" t="str">
        <f t="shared" si="24"/>
        <v/>
      </c>
      <c r="AC82" s="37" t="str">
        <f t="shared" si="25"/>
        <v/>
      </c>
      <c r="AD82" s="38">
        <f>IFERROR(INDEX('Prior Year Data Pull'!$A$2:$CB$593,MATCH(C82,'Prior Year Data Pull'!$A$2:$A$593,0),MATCH("Net Patient Service Revenue",'Prior Year Data Pull'!$A$1:$CB$1,0)),"")</f>
        <v>116457000</v>
      </c>
      <c r="AE82" s="38">
        <f>IFERROR(INDEX('Prior Year Data Pull'!$A$2:$CB$593,MATCH(C82,'Prior Year Data Pull'!$A$2:$A$593,0),MATCH("Total Current Assets",'Prior Year Data Pull'!$A$1:$CB$1,0)),"")</f>
        <v>0</v>
      </c>
      <c r="AF82" s="38">
        <f>IFERROR(INDEX('Prior Year Data Pull'!$A$2:$CB$593,MATCH(C82,'Prior Year Data Pull'!$A$2:$A$593,0),MATCH("Total Current Liabilities",'Prior Year Data Pull'!$A$1:$CB$1,0)),"")</f>
        <v>0</v>
      </c>
      <c r="AG82" s="38">
        <f>IFERROR(INDEX('Prior Year Data Pull'!$A$2:$CB$593,MATCH(C82,'Prior Year Data Pull'!$A$2:$A$593,0),MATCH("Total Non Operating Revenue",'Prior Year Data Pull'!$A$1:$CB$1,0)),"")</f>
        <v>0</v>
      </c>
      <c r="AH82" s="38">
        <f>IFERROR(INDEX('Prior Year Data Pull'!$A$2:$CB$593,MATCH(C82,'Prior Year Data Pull'!$A$2:$A$593,0),MATCH("Less Accumulated Depreciation",'Prior Year Data Pull'!$A$1:$CB$1,0)),"")</f>
        <v>0</v>
      </c>
      <c r="AI82" s="38">
        <f>IFERROR(INDEX('Prior Year Data Pull'!$A$2:$CB$593,MATCH(C82,'Prior Year Data Pull'!$A$2:$A$593,0),MATCH("Depreciation and Amortization Expense",'Prior Year Data Pull'!$A$1:$CB$1,0)),"")</f>
        <v>5350000</v>
      </c>
      <c r="AJ82" s="38">
        <f>IFERROR(INDEX('Prior Year Data Pull'!$A$2:$CB$593,MATCH(C82,'Prior Year Data Pull'!$A$2:$A$593,0),MATCH("Net Patient Accounts Receivable",'Prior Year Data Pull'!$A$1:$CB$1,0)),"")</f>
        <v>0</v>
      </c>
      <c r="AK82" s="14">
        <v>365</v>
      </c>
      <c r="AL82" s="38">
        <f>IFERROR(INDEX('Prior Year Data Pull'!$A$2:$CB$593,MATCH(C82,'Prior Year Data Pull'!$A$2:$A$593,0),MATCH("Estimated Third Party Settlements",'Prior Year Data Pull'!$A$1:$CB$1,0)),"")</f>
        <v>0</v>
      </c>
      <c r="AM82" s="38">
        <f>IFERROR(INDEX('Prior Year Data Pull'!$A$2:$CB$593,MATCH(C82,'Prior Year Data Pull'!$A$2:$A$593,0),MATCH("Current Liabilities due to Affiliates",'Prior Year Data Pull'!$A$1:$CB$1,0)),"")</f>
        <v>0</v>
      </c>
      <c r="AN82" s="38">
        <f>IFERROR(INDEX('Prior Year Data Pull'!$A$2:$CB$593,MATCH(C82,'Prior Year Data Pull'!$A$2:$A$593,0),MATCH("Short Term Investments",'Prior Year Data Pull'!$A$1:$CB$1,0)),"")</f>
        <v>0</v>
      </c>
      <c r="AO82" s="38">
        <f>IFERROR(INDEX('Prior Year Data Pull'!$A$2:$CB$593,MATCH(C82,'Prior Year Data Pull'!$A$2:$A$593,0),MATCH("Cash and Cash Equivalents",'Prior Year Data Pull'!$A$1:$CB$1,0)),"")</f>
        <v>0</v>
      </c>
      <c r="AP82" s="38">
        <f>IFERROR(INDEX('Prior Year Data Pull'!$A$2:$CB$593,MATCH(C82,'Prior Year Data Pull'!$A$2:$A$593,0),MATCH("Interest Expense",'Prior Year Data Pull'!$A$1:$CB$1,0)),"")</f>
        <v>0</v>
      </c>
      <c r="AQ82" s="38">
        <f>IFERROR(INDEX('Prior Year Data Pull'!$A$2:$CB$593,MATCH(C82,'Prior Year Data Pull'!$A$2:$A$593,0),MATCH("Long Term Debt Net of Current Portion",'Prior Year Data Pull'!$A$1:$CB$1,0)),"")</f>
        <v>0</v>
      </c>
      <c r="AR82" s="38">
        <f>IFERROR(INDEX('Prior Year Data Pull'!$A$2:$CB$593,MATCH(C82,'Prior Year Data Pull'!$A$2:$A$593,0),MATCH("Total Assets",'Prior Year Data Pull'!$A$1:$CB$1,0)),"")</f>
        <v>0</v>
      </c>
      <c r="AS82" s="38">
        <f>IFERROR(INDEX('Prior Year Data Pull'!$A$2:$CB$593,MATCH(C82,'Prior Year Data Pull'!$A$2:$A$593,0),MATCH("Long Term Debt Net of Current Portion",'Prior Year Data Pull'!$A$1:$CB$1,0)),"")</f>
        <v>0</v>
      </c>
      <c r="AT82" s="38">
        <f>IFERROR(INDEX('Prior Year Data Pull'!$A$2:$CB$593,MATCH(C82,'Prior Year Data Pull'!$A$2:$A$593,0),MATCH("Net Unrestricted Assets",'Prior Year Data Pull'!$A$1:$CB$1,0)),"")</f>
        <v>0</v>
      </c>
      <c r="AU82" s="38">
        <f>IFERROR(INDEX('Prior Year Data Pull'!$A$2:$CB$593,MATCH(C82,'Prior Year Data Pull'!$A$2:$A$593,0),MATCH("Unrealized Gains/Losses",'Prior Year Data Pull'!$A$1:$CB$1,0)),"")</f>
        <v>0</v>
      </c>
      <c r="AV82" s="38">
        <f>IFERROR(INDEX('Prior Year Data Pull'!$A$2:$CB$593,MATCH(C82,'Prior Year Data Pull'!$A$2:$A$593,0),MATCH("Salary and Benefit Expense",'Prior Year Data Pull'!$A$1:$CB$1,0)),"")</f>
        <v>145218000</v>
      </c>
    </row>
    <row r="83" spans="1:48" ht="34.200000000000003" x14ac:dyDescent="0.3">
      <c r="A83" s="46" t="str">
        <f>IFERROR(INDEX('Static Data Tab'!$N$2:$N$610,MATCH(D83,'Static Data Tab'!$D$2:$D$610,0)), "")</f>
        <v>Cape Cod Healthcare</v>
      </c>
      <c r="B83" s="46" t="s">
        <v>126</v>
      </c>
      <c r="C83" s="46">
        <v>11810</v>
      </c>
      <c r="D83" s="46">
        <v>3109</v>
      </c>
      <c r="E83" s="46" t="str">
        <f>IFERROR(INDEX('Prior Year Data Pull'!$A$1:$CB$593,MATCH(C83,'Prior Year Data Pull'!$A$1:$A$593,0),MATCH("Organization Type",'Prior Year Data Pull'!$A$1:$CB$1,0)),"")</f>
        <v>PhysicianOrganization</v>
      </c>
      <c r="F83" s="46" t="str">
        <f>IFERROR(INDEX('Static Data Tab'!$E$2:$E$610,MATCH(C83,'Static Data Tab'!$B$2:$B$610,0)), "-")</f>
        <v>-</v>
      </c>
      <c r="G83" s="46" t="str">
        <f>IFERROR(INDEX('Static Data Tab'!$J$2:$J$610,MATCH(C83,'Static Data Tab'!$B$2:$B$610,0)), "")</f>
        <v/>
      </c>
      <c r="H83" s="46" t="str">
        <f>IFERROR(INDEX('Static Data Tab'!$F$2:$F$610,MATCH(C83,'Static Data Tab'!$B$2:$B$610,0)), "")</f>
        <v/>
      </c>
      <c r="I83" s="46" t="str">
        <f>IFERROR(INDEX('Static Data Tab'!$G$2:$G$610,MATCH(C83,'Static Data Tab'!$B$2:$B$610,0)), "")</f>
        <v/>
      </c>
      <c r="J83" s="46" t="str">
        <f>IFERROR(INDEX('Prior Year Data Pull'!$A$2:$CB$593,MATCH(C83,'Prior Year Data Pull'!$A$2:$A$593,0),MATCH("Quarter Range",'Prior Year Data Pull'!$A$1:$CB$1,0)),"")</f>
        <v xml:space="preserve">10/01/2024-09/30/2025
</v>
      </c>
      <c r="K83" s="45">
        <f t="shared" si="13"/>
        <v>-0.39426713776514732</v>
      </c>
      <c r="L83" s="45">
        <f t="shared" si="14"/>
        <v>0</v>
      </c>
      <c r="M83" s="45">
        <f t="shared" si="15"/>
        <v>-0.39426713776514732</v>
      </c>
      <c r="N83" s="47">
        <f t="shared" si="16"/>
        <v>-44490371</v>
      </c>
      <c r="O83" s="265" t="str">
        <f t="shared" si="17"/>
        <v/>
      </c>
      <c r="P83" s="47">
        <f>IFERROR(INDEX('Prior Year Data Pull'!$A$2:$CB$593,MATCH('Prior Year Data Table'!$C83,'Prior Year Data Pull'!$A$2:$A$593,0),MATCH("Total Net Assets or Equity",'Prior Year Data Pull'!$A$1:$CB$1,0)),"")</f>
        <v>0</v>
      </c>
      <c r="Q83" s="47">
        <f>IFERROR(INDEX('Prior Year Data Pull'!$A$2:$CB$593,MATCH('Prior Year Data Table'!$C83,'Prior Year Data Pull'!$A$2:$A$593,0),MATCH("Total Operating Revenue",'Prior Year Data Pull'!$A$1:$CB$1,0)),"")</f>
        <v>112843214</v>
      </c>
      <c r="R83" s="47">
        <f>IFERROR(INDEX('Prior Year Data Pull'!$A$2:$CB$593,MATCH('Prior Year Data Table'!$C83,'Prior Year Data Pull'!$A$2:$A$593,0),MATCH("Total Unrestricted Revenue Gains and Other Support",'Prior Year Data Pull'!$A$1:$CB$1,0)),"")</f>
        <v>112843214</v>
      </c>
      <c r="S83" s="47">
        <f>IFERROR(INDEX('Prior Year TS Data Pull'!$K$2:$K$607,MATCH(C83,'Prior Year TS Data Pull'!$A$2:$A$607,0))+INDEX('Prior Year TS Data Pull'!$O$2:$O$119,MATCH(C83,'Prior Year TS Data Pull'!$A$2:$A$607,0))+INDEX('Prior Year TS Data Pull'!$S$2:$S$119,MATCH(C83,'Prior Year TS Data Pull'!$A$2:$A$607,0)),"")</f>
        <v>80029.25</v>
      </c>
      <c r="T83" s="47">
        <f>IF(INDEX('Prior Year TS Data Pull'!$A$1:$O$607,MATCH(C83,'Prior Year TS Data Pull'!$A$1:$A$607,0),MATCH("Temporary RN Staffing:
Line Reported on in Standardized Financials",'Prior Year TS Data Pull'!$A$1:$O$1,0))="66.1: Salary and Benefit Expense",'Prior Year Data Table'!$AV83-'Prior Year Data Table'!$S83,0)</f>
        <v>121748370.75</v>
      </c>
      <c r="U83" s="47">
        <f>IFERROR(INDEX('Prior Year Data Pull'!$A$2:$CB$593,MATCH(C83,'Prior Year Data Pull'!$A$2:$A$593,0),MATCH("Total Expenses Including Nonrecurring Gains Losses",'Prior Year Data Pull'!$A$1:$CB$1,0)),"")</f>
        <v>157333585</v>
      </c>
      <c r="V83" s="266">
        <f t="shared" si="18"/>
        <v>0</v>
      </c>
      <c r="W83" s="266">
        <f t="shared" si="19"/>
        <v>0</v>
      </c>
      <c r="X83" s="266">
        <f t="shared" si="20"/>
        <v>0</v>
      </c>
      <c r="Y83" s="45" t="str">
        <f t="shared" si="21"/>
        <v/>
      </c>
      <c r="Z83" s="266">
        <f t="shared" si="22"/>
        <v>0</v>
      </c>
      <c r="AA83" s="265" t="str">
        <f t="shared" si="23"/>
        <v/>
      </c>
      <c r="AB83" s="45" t="str">
        <f t="shared" si="24"/>
        <v/>
      </c>
      <c r="AC83" s="45" t="str">
        <f t="shared" si="25"/>
        <v/>
      </c>
      <c r="AD83" s="47">
        <f>IFERROR(INDEX('Prior Year Data Pull'!$A$2:$CB$593,MATCH(C83,'Prior Year Data Pull'!$A$2:$A$593,0),MATCH("Net Patient Service Revenue",'Prior Year Data Pull'!$A$1:$CB$1,0)),"")</f>
        <v>111261077</v>
      </c>
      <c r="AE83" s="47">
        <f>IFERROR(INDEX('Prior Year Data Pull'!$A$2:$CB$593,MATCH(C83,'Prior Year Data Pull'!$A$2:$A$593,0),MATCH("Total Current Assets",'Prior Year Data Pull'!$A$1:$CB$1,0)),"")</f>
        <v>0</v>
      </c>
      <c r="AF83" s="47">
        <f>IFERROR(INDEX('Prior Year Data Pull'!$A$2:$CB$593,MATCH(C83,'Prior Year Data Pull'!$A$2:$A$593,0),MATCH("Total Current Liabilities",'Prior Year Data Pull'!$A$1:$CB$1,0)),"")</f>
        <v>0</v>
      </c>
      <c r="AG83" s="47">
        <f>IFERROR(INDEX('Prior Year Data Pull'!$A$2:$CB$593,MATCH(C83,'Prior Year Data Pull'!$A$2:$A$593,0),MATCH("Total Non Operating Revenue",'Prior Year Data Pull'!$A$1:$CB$1,0)),"")</f>
        <v>0</v>
      </c>
      <c r="AH83" s="47">
        <f>IFERROR(INDEX('Prior Year Data Pull'!$A$2:$CB$593,MATCH(C83,'Prior Year Data Pull'!$A$2:$A$593,0),MATCH("Less Accumulated Depreciation",'Prior Year Data Pull'!$A$1:$CB$1,0)),"")</f>
        <v>0</v>
      </c>
      <c r="AI83" s="47">
        <f>IFERROR(INDEX('Prior Year Data Pull'!$A$2:$CB$593,MATCH(C83,'Prior Year Data Pull'!$A$2:$A$593,0),MATCH("Depreciation and Amortization Expense",'Prior Year Data Pull'!$A$1:$CB$1,0)),"")</f>
        <v>304648</v>
      </c>
      <c r="AJ83" s="47">
        <f>IFERROR(INDEX('Prior Year Data Pull'!$A$2:$CB$593,MATCH(C83,'Prior Year Data Pull'!$A$2:$A$593,0),MATCH("Net Patient Accounts Receivable",'Prior Year Data Pull'!$A$1:$CB$1,0)),"")</f>
        <v>0</v>
      </c>
      <c r="AK83" s="46">
        <v>365</v>
      </c>
      <c r="AL83" s="47">
        <f>IFERROR(INDEX('Prior Year Data Pull'!$A$2:$CB$593,MATCH(C83,'Prior Year Data Pull'!$A$2:$A$593,0),MATCH("Estimated Third Party Settlements",'Prior Year Data Pull'!$A$1:$CB$1,0)),"")</f>
        <v>0</v>
      </c>
      <c r="AM83" s="47">
        <f>IFERROR(INDEX('Prior Year Data Pull'!$A$2:$CB$593,MATCH(C83,'Prior Year Data Pull'!$A$2:$A$593,0),MATCH("Current Liabilities due to Affiliates",'Prior Year Data Pull'!$A$1:$CB$1,0)),"")</f>
        <v>0</v>
      </c>
      <c r="AN83" s="47">
        <f>IFERROR(INDEX('Prior Year Data Pull'!$A$2:$CB$593,MATCH(C83,'Prior Year Data Pull'!$A$2:$A$593,0),MATCH("Short Term Investments",'Prior Year Data Pull'!$A$1:$CB$1,0)),"")</f>
        <v>0</v>
      </c>
      <c r="AO83" s="47">
        <f>IFERROR(INDEX('Prior Year Data Pull'!$A$2:$CB$593,MATCH(C83,'Prior Year Data Pull'!$A$2:$A$593,0),MATCH("Cash and Cash Equivalents",'Prior Year Data Pull'!$A$1:$CB$1,0)),"")</f>
        <v>0</v>
      </c>
      <c r="AP83" s="47">
        <f>IFERROR(INDEX('Prior Year Data Pull'!$A$2:$CB$593,MATCH(C83,'Prior Year Data Pull'!$A$2:$A$593,0),MATCH("Interest Expense",'Prior Year Data Pull'!$A$1:$CB$1,0)),"")</f>
        <v>0</v>
      </c>
      <c r="AQ83" s="47">
        <f>IFERROR(INDEX('Prior Year Data Pull'!$A$2:$CB$593,MATCH(C83,'Prior Year Data Pull'!$A$2:$A$593,0),MATCH("Long Term Debt Net of Current Portion",'Prior Year Data Pull'!$A$1:$CB$1,0)),"")</f>
        <v>0</v>
      </c>
      <c r="AR83" s="47">
        <f>IFERROR(INDEX('Prior Year Data Pull'!$A$2:$CB$593,MATCH(C83,'Prior Year Data Pull'!$A$2:$A$593,0),MATCH("Total Assets",'Prior Year Data Pull'!$A$1:$CB$1,0)),"")</f>
        <v>0</v>
      </c>
      <c r="AS83" s="47">
        <f>IFERROR(INDEX('Prior Year Data Pull'!$A$2:$CB$593,MATCH(C83,'Prior Year Data Pull'!$A$2:$A$593,0),MATCH("Long Term Debt Net of Current Portion",'Prior Year Data Pull'!$A$1:$CB$1,0)),"")</f>
        <v>0</v>
      </c>
      <c r="AT83" s="47">
        <f>IFERROR(INDEX('Prior Year Data Pull'!$A$2:$CB$593,MATCH(C83,'Prior Year Data Pull'!$A$2:$A$593,0),MATCH("Net Unrestricted Assets",'Prior Year Data Pull'!$A$1:$CB$1,0)),"")</f>
        <v>0</v>
      </c>
      <c r="AU83" s="47">
        <f>IFERROR(INDEX('Prior Year Data Pull'!$A$2:$CB$593,MATCH(C83,'Prior Year Data Pull'!$A$2:$A$593,0),MATCH("Unrealized Gains/Losses",'Prior Year Data Pull'!$A$1:$CB$1,0)),"")</f>
        <v>0</v>
      </c>
      <c r="AV83" s="47">
        <f>IFERROR(INDEX('Prior Year Data Pull'!$A$2:$CB$593,MATCH(C83,'Prior Year Data Pull'!$A$2:$A$593,0),MATCH("Salary and Benefit Expense",'Prior Year Data Pull'!$A$1:$CB$1,0)),"")</f>
        <v>121828400</v>
      </c>
    </row>
    <row r="84" spans="1:48" ht="34.200000000000003" x14ac:dyDescent="0.3">
      <c r="A84" s="14" t="str">
        <f>IFERROR(INDEX('Static Data Tab'!$N$2:$N$610,MATCH(D84,'Static Data Tab'!$D$2:$D$610,0)), "")</f>
        <v>Beth Israel Lahey Health</v>
      </c>
      <c r="B84" s="14" t="s">
        <v>111</v>
      </c>
      <c r="C84" s="14">
        <v>11915</v>
      </c>
      <c r="D84" s="14">
        <v>16665</v>
      </c>
      <c r="E84" s="14" t="str">
        <f>IFERROR(INDEX('Prior Year Data Pull'!$A$1:$CB$593,MATCH(C84,'Prior Year Data Pull'!$A$1:$A$593,0),MATCH("Organization Type",'Prior Year Data Pull'!$A$1:$CB$1,0)),"")</f>
        <v>PhysicianOrganization</v>
      </c>
      <c r="F84" s="14" t="str">
        <f>IFERROR(INDEX('Static Data Tab'!$E$2:$E$610,MATCH(C84,'Static Data Tab'!$B$2:$B$610,0)), "-")</f>
        <v>-</v>
      </c>
      <c r="G84" s="14" t="str">
        <f>IFERROR(INDEX('Static Data Tab'!$J$2:$J$610,MATCH(C84,'Static Data Tab'!$B$2:$B$610,0)), "")</f>
        <v/>
      </c>
      <c r="H84" s="14" t="str">
        <f>IFERROR(INDEX('Static Data Tab'!$F$2:$F$610,MATCH(C84,'Static Data Tab'!$B$2:$B$610,0)), "")</f>
        <v/>
      </c>
      <c r="I84" s="14" t="str">
        <f>IFERROR(INDEX('Static Data Tab'!$G$2:$G$610,MATCH(C84,'Static Data Tab'!$B$2:$B$610,0)), "")</f>
        <v/>
      </c>
      <c r="J84" s="14" t="str">
        <f>IFERROR(INDEX('Prior Year Data Pull'!$A$2:$CB$593,MATCH(C84,'Prior Year Data Pull'!$A$2:$A$593,0),MATCH("Quarter Range",'Prior Year Data Pull'!$A$1:$CB$1,0)),"")</f>
        <v xml:space="preserve">10/01/2024-09/30/2025
</v>
      </c>
      <c r="K84" s="37">
        <f t="shared" si="13"/>
        <v>-0.52947555968704008</v>
      </c>
      <c r="L84" s="37">
        <f t="shared" si="14"/>
        <v>0</v>
      </c>
      <c r="M84" s="37">
        <f t="shared" si="15"/>
        <v>-0.52947555968704008</v>
      </c>
      <c r="N84" s="38">
        <f t="shared" si="16"/>
        <v>-6835000</v>
      </c>
      <c r="O84" s="39" t="str">
        <f t="shared" si="17"/>
        <v/>
      </c>
      <c r="P84" s="38">
        <f>IFERROR(INDEX('Prior Year Data Pull'!$A$2:$CB$593,MATCH('Prior Year Data Table'!$C84,'Prior Year Data Pull'!$A$2:$A$593,0),MATCH("Total Net Assets or Equity",'Prior Year Data Pull'!$A$1:$CB$1,0)),"")</f>
        <v>0</v>
      </c>
      <c r="Q84" s="38">
        <f>IFERROR(INDEX('Prior Year Data Pull'!$A$2:$CB$593,MATCH('Prior Year Data Table'!$C84,'Prior Year Data Pull'!$A$2:$A$593,0),MATCH("Total Operating Revenue",'Prior Year Data Pull'!$A$1:$CB$1,0)),"")</f>
        <v>12909000</v>
      </c>
      <c r="R84" s="38">
        <f>IFERROR(INDEX('Prior Year Data Pull'!$A$2:$CB$593,MATCH('Prior Year Data Table'!$C84,'Prior Year Data Pull'!$A$2:$A$593,0),MATCH("Total Unrestricted Revenue Gains and Other Support",'Prior Year Data Pull'!$A$1:$CB$1,0)),"")</f>
        <v>12909000</v>
      </c>
      <c r="S84" s="38">
        <f>IFERROR(INDEX('Prior Year TS Data Pull'!$K$2:$K$607,MATCH(C84,'Prior Year TS Data Pull'!$A$2:$A$607,0))+INDEX('Prior Year TS Data Pull'!$O$2:$O$119,MATCH(C84,'Prior Year TS Data Pull'!$A$2:$A$607,0))+INDEX('Prior Year TS Data Pull'!$S$2:$S$119,MATCH(C84,'Prior Year TS Data Pull'!$A$2:$A$607,0)),"")</f>
        <v>0</v>
      </c>
      <c r="T84" s="38">
        <f>IF(INDEX('Prior Year TS Data Pull'!$A$1:$O$607,MATCH(C84,'Prior Year TS Data Pull'!$A$1:$A$607,0),MATCH("Temporary RN Staffing:
Line Reported on in Standardized Financials",'Prior Year TS Data Pull'!$A$1:$O$1,0))="66.1: Salary and Benefit Expense",'Prior Year Data Table'!$AV84-'Prior Year Data Table'!$S84,0)</f>
        <v>14837000</v>
      </c>
      <c r="U84" s="38">
        <f>IFERROR(INDEX('Prior Year Data Pull'!$A$2:$CB$593,MATCH(C84,'Prior Year Data Pull'!$A$2:$A$593,0),MATCH("Total Expenses Including Nonrecurring Gains Losses",'Prior Year Data Pull'!$A$1:$CB$1,0)),"")</f>
        <v>19744000</v>
      </c>
      <c r="V84" s="41">
        <f t="shared" si="18"/>
        <v>0</v>
      </c>
      <c r="W84" s="41">
        <f t="shared" si="19"/>
        <v>0</v>
      </c>
      <c r="X84" s="41">
        <f t="shared" si="20"/>
        <v>0</v>
      </c>
      <c r="Y84" s="37" t="str">
        <f t="shared" si="21"/>
        <v/>
      </c>
      <c r="Z84" s="41">
        <f t="shared" si="22"/>
        <v>0</v>
      </c>
      <c r="AA84" s="39" t="str">
        <f t="shared" si="23"/>
        <v/>
      </c>
      <c r="AB84" s="37" t="str">
        <f t="shared" si="24"/>
        <v/>
      </c>
      <c r="AC84" s="37" t="str">
        <f t="shared" si="25"/>
        <v/>
      </c>
      <c r="AD84" s="38">
        <f>IFERROR(INDEX('Prior Year Data Pull'!$A$2:$CB$593,MATCH(C84,'Prior Year Data Pull'!$A$2:$A$593,0),MATCH("Net Patient Service Revenue",'Prior Year Data Pull'!$A$1:$CB$1,0)),"")</f>
        <v>11717000</v>
      </c>
      <c r="AE84" s="38">
        <f>IFERROR(INDEX('Prior Year Data Pull'!$A$2:$CB$593,MATCH(C84,'Prior Year Data Pull'!$A$2:$A$593,0),MATCH("Total Current Assets",'Prior Year Data Pull'!$A$1:$CB$1,0)),"")</f>
        <v>0</v>
      </c>
      <c r="AF84" s="38">
        <f>IFERROR(INDEX('Prior Year Data Pull'!$A$2:$CB$593,MATCH(C84,'Prior Year Data Pull'!$A$2:$A$593,0),MATCH("Total Current Liabilities",'Prior Year Data Pull'!$A$1:$CB$1,0)),"")</f>
        <v>0</v>
      </c>
      <c r="AG84" s="38">
        <f>IFERROR(INDEX('Prior Year Data Pull'!$A$2:$CB$593,MATCH(C84,'Prior Year Data Pull'!$A$2:$A$593,0),MATCH("Total Non Operating Revenue",'Prior Year Data Pull'!$A$1:$CB$1,0)),"")</f>
        <v>0</v>
      </c>
      <c r="AH84" s="38">
        <f>IFERROR(INDEX('Prior Year Data Pull'!$A$2:$CB$593,MATCH(C84,'Prior Year Data Pull'!$A$2:$A$593,0),MATCH("Less Accumulated Depreciation",'Prior Year Data Pull'!$A$1:$CB$1,0)),"")</f>
        <v>0</v>
      </c>
      <c r="AI84" s="38">
        <f>IFERROR(INDEX('Prior Year Data Pull'!$A$2:$CB$593,MATCH(C84,'Prior Year Data Pull'!$A$2:$A$593,0),MATCH("Depreciation and Amortization Expense",'Prior Year Data Pull'!$A$1:$CB$1,0)),"")</f>
        <v>178000</v>
      </c>
      <c r="AJ84" s="38">
        <f>IFERROR(INDEX('Prior Year Data Pull'!$A$2:$CB$593,MATCH(C84,'Prior Year Data Pull'!$A$2:$A$593,0),MATCH("Net Patient Accounts Receivable",'Prior Year Data Pull'!$A$1:$CB$1,0)),"")</f>
        <v>0</v>
      </c>
      <c r="AK84" s="14">
        <v>365</v>
      </c>
      <c r="AL84" s="38">
        <f>IFERROR(INDEX('Prior Year Data Pull'!$A$2:$CB$593,MATCH(C84,'Prior Year Data Pull'!$A$2:$A$593,0),MATCH("Estimated Third Party Settlements",'Prior Year Data Pull'!$A$1:$CB$1,0)),"")</f>
        <v>0</v>
      </c>
      <c r="AM84" s="38">
        <f>IFERROR(INDEX('Prior Year Data Pull'!$A$2:$CB$593,MATCH(C84,'Prior Year Data Pull'!$A$2:$A$593,0),MATCH("Current Liabilities due to Affiliates",'Prior Year Data Pull'!$A$1:$CB$1,0)),"")</f>
        <v>0</v>
      </c>
      <c r="AN84" s="38">
        <f>IFERROR(INDEX('Prior Year Data Pull'!$A$2:$CB$593,MATCH(C84,'Prior Year Data Pull'!$A$2:$A$593,0),MATCH("Short Term Investments",'Prior Year Data Pull'!$A$1:$CB$1,0)),"")</f>
        <v>0</v>
      </c>
      <c r="AO84" s="38">
        <f>IFERROR(INDEX('Prior Year Data Pull'!$A$2:$CB$593,MATCH(C84,'Prior Year Data Pull'!$A$2:$A$593,0),MATCH("Cash and Cash Equivalents",'Prior Year Data Pull'!$A$1:$CB$1,0)),"")</f>
        <v>0</v>
      </c>
      <c r="AP84" s="38">
        <f>IFERROR(INDEX('Prior Year Data Pull'!$A$2:$CB$593,MATCH(C84,'Prior Year Data Pull'!$A$2:$A$593,0),MATCH("Interest Expense",'Prior Year Data Pull'!$A$1:$CB$1,0)),"")</f>
        <v>0</v>
      </c>
      <c r="AQ84" s="38">
        <f>IFERROR(INDEX('Prior Year Data Pull'!$A$2:$CB$593,MATCH(C84,'Prior Year Data Pull'!$A$2:$A$593,0),MATCH("Long Term Debt Net of Current Portion",'Prior Year Data Pull'!$A$1:$CB$1,0)),"")</f>
        <v>0</v>
      </c>
      <c r="AR84" s="38">
        <f>IFERROR(INDEX('Prior Year Data Pull'!$A$2:$CB$593,MATCH(C84,'Prior Year Data Pull'!$A$2:$A$593,0),MATCH("Total Assets",'Prior Year Data Pull'!$A$1:$CB$1,0)),"")</f>
        <v>0</v>
      </c>
      <c r="AS84" s="38">
        <f>IFERROR(INDEX('Prior Year Data Pull'!$A$2:$CB$593,MATCH(C84,'Prior Year Data Pull'!$A$2:$A$593,0),MATCH("Long Term Debt Net of Current Portion",'Prior Year Data Pull'!$A$1:$CB$1,0)),"")</f>
        <v>0</v>
      </c>
      <c r="AT84" s="38">
        <f>IFERROR(INDEX('Prior Year Data Pull'!$A$2:$CB$593,MATCH(C84,'Prior Year Data Pull'!$A$2:$A$593,0),MATCH("Net Unrestricted Assets",'Prior Year Data Pull'!$A$1:$CB$1,0)),"")</f>
        <v>0</v>
      </c>
      <c r="AU84" s="38">
        <f>IFERROR(INDEX('Prior Year Data Pull'!$A$2:$CB$593,MATCH(C84,'Prior Year Data Pull'!$A$2:$A$593,0),MATCH("Unrealized Gains/Losses",'Prior Year Data Pull'!$A$1:$CB$1,0)),"")</f>
        <v>0</v>
      </c>
      <c r="AV84" s="38">
        <f>IFERROR(INDEX('Prior Year Data Pull'!$A$2:$CB$593,MATCH(C84,'Prior Year Data Pull'!$A$2:$A$593,0),MATCH("Salary and Benefit Expense",'Prior Year Data Pull'!$A$1:$CB$1,0)),"")</f>
        <v>14837000</v>
      </c>
    </row>
    <row r="85" spans="1:48" ht="34.200000000000003" x14ac:dyDescent="0.3">
      <c r="A85" s="46" t="str">
        <f>IFERROR(INDEX('Static Data Tab'!$N$2:$N$610,MATCH(D85,'Static Data Tab'!$D$2:$D$610,0)), "")</f>
        <v>Beth Israel Lahey Health</v>
      </c>
      <c r="B85" s="46" t="s">
        <v>112</v>
      </c>
      <c r="C85" s="46">
        <v>12022</v>
      </c>
      <c r="D85" s="46">
        <v>16665</v>
      </c>
      <c r="E85" s="46" t="str">
        <f>IFERROR(INDEX('Prior Year Data Pull'!$A$1:$CB$593,MATCH(C85,'Prior Year Data Pull'!$A$1:$A$593,0),MATCH("Organization Type",'Prior Year Data Pull'!$A$1:$CB$1,0)),"")</f>
        <v>PhysicianOrganization</v>
      </c>
      <c r="F85" s="46" t="str">
        <f>IFERROR(INDEX('Static Data Tab'!$E$2:$E$610,MATCH(C85,'Static Data Tab'!$B$2:$B$610,0)), "-")</f>
        <v>-</v>
      </c>
      <c r="G85" s="46" t="str">
        <f>IFERROR(INDEX('Static Data Tab'!$J$2:$J$610,MATCH(C85,'Static Data Tab'!$B$2:$B$610,0)), "")</f>
        <v/>
      </c>
      <c r="H85" s="46" t="str">
        <f>IFERROR(INDEX('Static Data Tab'!$F$2:$F$610,MATCH(C85,'Static Data Tab'!$B$2:$B$610,0)), "")</f>
        <v/>
      </c>
      <c r="I85" s="46" t="str">
        <f>IFERROR(INDEX('Static Data Tab'!$G$2:$G$610,MATCH(C85,'Static Data Tab'!$B$2:$B$610,0)), "")</f>
        <v/>
      </c>
      <c r="J85" s="46" t="str">
        <f>IFERROR(INDEX('Prior Year Data Pull'!$A$2:$CB$593,MATCH(C85,'Prior Year Data Pull'!$A$2:$A$593,0),MATCH("Quarter Range",'Prior Year Data Pull'!$A$1:$CB$1,0)),"")</f>
        <v xml:space="preserve">10/01/2024-09/30/2025
</v>
      </c>
      <c r="K85" s="45">
        <f t="shared" si="13"/>
        <v>-8.1910728269381367E-2</v>
      </c>
      <c r="L85" s="45">
        <f t="shared" si="14"/>
        <v>0</v>
      </c>
      <c r="M85" s="45">
        <f t="shared" si="15"/>
        <v>-8.1910728269381367E-2</v>
      </c>
      <c r="N85" s="47">
        <f t="shared" si="16"/>
        <v>-1569000</v>
      </c>
      <c r="O85" s="265" t="str">
        <f t="shared" si="17"/>
        <v/>
      </c>
      <c r="P85" s="47">
        <f>IFERROR(INDEX('Prior Year Data Pull'!$A$2:$CB$593,MATCH('Prior Year Data Table'!$C85,'Prior Year Data Pull'!$A$2:$A$593,0),MATCH("Total Net Assets or Equity",'Prior Year Data Pull'!$A$1:$CB$1,0)),"")</f>
        <v>0</v>
      </c>
      <c r="Q85" s="47">
        <f>IFERROR(INDEX('Prior Year Data Pull'!$A$2:$CB$593,MATCH('Prior Year Data Table'!$C85,'Prior Year Data Pull'!$A$2:$A$593,0),MATCH("Total Operating Revenue",'Prior Year Data Pull'!$A$1:$CB$1,0)),"")</f>
        <v>19155000</v>
      </c>
      <c r="R85" s="47">
        <f>IFERROR(INDEX('Prior Year Data Pull'!$A$2:$CB$593,MATCH('Prior Year Data Table'!$C85,'Prior Year Data Pull'!$A$2:$A$593,0),MATCH("Total Unrestricted Revenue Gains and Other Support",'Prior Year Data Pull'!$A$1:$CB$1,0)),"")</f>
        <v>19155000</v>
      </c>
      <c r="S85" s="47">
        <f>IFERROR(INDEX('Prior Year TS Data Pull'!$K$2:$K$607,MATCH(C85,'Prior Year TS Data Pull'!$A$2:$A$607,0))+INDEX('Prior Year TS Data Pull'!$O$2:$O$119,MATCH(C85,'Prior Year TS Data Pull'!$A$2:$A$607,0))+INDEX('Prior Year TS Data Pull'!$S$2:$S$119,MATCH(C85,'Prior Year TS Data Pull'!$A$2:$A$607,0)),"")</f>
        <v>0</v>
      </c>
      <c r="T85" s="47">
        <f>IF(INDEX('Prior Year TS Data Pull'!$A$1:$O$607,MATCH(C85,'Prior Year TS Data Pull'!$A$1:$A$607,0),MATCH("Temporary RN Staffing:
Line Reported on in Standardized Financials",'Prior Year TS Data Pull'!$A$1:$O$1,0))="66.1: Salary and Benefit Expense",'Prior Year Data Table'!$AV85-'Prior Year Data Table'!$S85,0)</f>
        <v>14705000</v>
      </c>
      <c r="U85" s="47">
        <f>IFERROR(INDEX('Prior Year Data Pull'!$A$2:$CB$593,MATCH(C85,'Prior Year Data Pull'!$A$2:$A$593,0),MATCH("Total Expenses Including Nonrecurring Gains Losses",'Prior Year Data Pull'!$A$1:$CB$1,0)),"")</f>
        <v>20724000</v>
      </c>
      <c r="V85" s="266">
        <f t="shared" si="18"/>
        <v>0</v>
      </c>
      <c r="W85" s="266">
        <f t="shared" si="19"/>
        <v>0</v>
      </c>
      <c r="X85" s="266">
        <f t="shared" si="20"/>
        <v>0</v>
      </c>
      <c r="Y85" s="45" t="str">
        <f t="shared" si="21"/>
        <v/>
      </c>
      <c r="Z85" s="266">
        <f t="shared" si="22"/>
        <v>0</v>
      </c>
      <c r="AA85" s="265" t="str">
        <f t="shared" si="23"/>
        <v/>
      </c>
      <c r="AB85" s="45" t="str">
        <f t="shared" si="24"/>
        <v/>
      </c>
      <c r="AC85" s="45" t="str">
        <f t="shared" si="25"/>
        <v/>
      </c>
      <c r="AD85" s="47">
        <f>IFERROR(INDEX('Prior Year Data Pull'!$A$2:$CB$593,MATCH(C85,'Prior Year Data Pull'!$A$2:$A$593,0),MATCH("Net Patient Service Revenue",'Prior Year Data Pull'!$A$1:$CB$1,0)),"")</f>
        <v>17719000</v>
      </c>
      <c r="AE85" s="47">
        <f>IFERROR(INDEX('Prior Year Data Pull'!$A$2:$CB$593,MATCH(C85,'Prior Year Data Pull'!$A$2:$A$593,0),MATCH("Total Current Assets",'Prior Year Data Pull'!$A$1:$CB$1,0)),"")</f>
        <v>0</v>
      </c>
      <c r="AF85" s="47">
        <f>IFERROR(INDEX('Prior Year Data Pull'!$A$2:$CB$593,MATCH(C85,'Prior Year Data Pull'!$A$2:$A$593,0),MATCH("Total Current Liabilities",'Prior Year Data Pull'!$A$1:$CB$1,0)),"")</f>
        <v>0</v>
      </c>
      <c r="AG85" s="47">
        <f>IFERROR(INDEX('Prior Year Data Pull'!$A$2:$CB$593,MATCH(C85,'Prior Year Data Pull'!$A$2:$A$593,0),MATCH("Total Non Operating Revenue",'Prior Year Data Pull'!$A$1:$CB$1,0)),"")</f>
        <v>0</v>
      </c>
      <c r="AH85" s="47">
        <f>IFERROR(INDEX('Prior Year Data Pull'!$A$2:$CB$593,MATCH(C85,'Prior Year Data Pull'!$A$2:$A$593,0),MATCH("Less Accumulated Depreciation",'Prior Year Data Pull'!$A$1:$CB$1,0)),"")</f>
        <v>0</v>
      </c>
      <c r="AI85" s="47">
        <f>IFERROR(INDEX('Prior Year Data Pull'!$A$2:$CB$593,MATCH(C85,'Prior Year Data Pull'!$A$2:$A$593,0),MATCH("Depreciation and Amortization Expense",'Prior Year Data Pull'!$A$1:$CB$1,0)),"")</f>
        <v>110000</v>
      </c>
      <c r="AJ85" s="47">
        <f>IFERROR(INDEX('Prior Year Data Pull'!$A$2:$CB$593,MATCH(C85,'Prior Year Data Pull'!$A$2:$A$593,0),MATCH("Net Patient Accounts Receivable",'Prior Year Data Pull'!$A$1:$CB$1,0)),"")</f>
        <v>0</v>
      </c>
      <c r="AK85" s="46">
        <v>365</v>
      </c>
      <c r="AL85" s="47">
        <f>IFERROR(INDEX('Prior Year Data Pull'!$A$2:$CB$593,MATCH(C85,'Prior Year Data Pull'!$A$2:$A$593,0),MATCH("Estimated Third Party Settlements",'Prior Year Data Pull'!$A$1:$CB$1,0)),"")</f>
        <v>0</v>
      </c>
      <c r="AM85" s="47">
        <f>IFERROR(INDEX('Prior Year Data Pull'!$A$2:$CB$593,MATCH(C85,'Prior Year Data Pull'!$A$2:$A$593,0),MATCH("Current Liabilities due to Affiliates",'Prior Year Data Pull'!$A$1:$CB$1,0)),"")</f>
        <v>0</v>
      </c>
      <c r="AN85" s="47">
        <f>IFERROR(INDEX('Prior Year Data Pull'!$A$2:$CB$593,MATCH(C85,'Prior Year Data Pull'!$A$2:$A$593,0),MATCH("Short Term Investments",'Prior Year Data Pull'!$A$1:$CB$1,0)),"")</f>
        <v>0</v>
      </c>
      <c r="AO85" s="47">
        <f>IFERROR(INDEX('Prior Year Data Pull'!$A$2:$CB$593,MATCH(C85,'Prior Year Data Pull'!$A$2:$A$593,0),MATCH("Cash and Cash Equivalents",'Prior Year Data Pull'!$A$1:$CB$1,0)),"")</f>
        <v>0</v>
      </c>
      <c r="AP85" s="47">
        <f>IFERROR(INDEX('Prior Year Data Pull'!$A$2:$CB$593,MATCH(C85,'Prior Year Data Pull'!$A$2:$A$593,0),MATCH("Interest Expense",'Prior Year Data Pull'!$A$1:$CB$1,0)),"")</f>
        <v>0</v>
      </c>
      <c r="AQ85" s="47">
        <f>IFERROR(INDEX('Prior Year Data Pull'!$A$2:$CB$593,MATCH(C85,'Prior Year Data Pull'!$A$2:$A$593,0),MATCH("Long Term Debt Net of Current Portion",'Prior Year Data Pull'!$A$1:$CB$1,0)),"")</f>
        <v>0</v>
      </c>
      <c r="AR85" s="47">
        <f>IFERROR(INDEX('Prior Year Data Pull'!$A$2:$CB$593,MATCH(C85,'Prior Year Data Pull'!$A$2:$A$593,0),MATCH("Total Assets",'Prior Year Data Pull'!$A$1:$CB$1,0)),"")</f>
        <v>0</v>
      </c>
      <c r="AS85" s="47">
        <f>IFERROR(INDEX('Prior Year Data Pull'!$A$2:$CB$593,MATCH(C85,'Prior Year Data Pull'!$A$2:$A$593,0),MATCH("Long Term Debt Net of Current Portion",'Prior Year Data Pull'!$A$1:$CB$1,0)),"")</f>
        <v>0</v>
      </c>
      <c r="AT85" s="47">
        <f>IFERROR(INDEX('Prior Year Data Pull'!$A$2:$CB$593,MATCH(C85,'Prior Year Data Pull'!$A$2:$A$593,0),MATCH("Net Unrestricted Assets",'Prior Year Data Pull'!$A$1:$CB$1,0)),"")</f>
        <v>0</v>
      </c>
      <c r="AU85" s="47">
        <f>IFERROR(INDEX('Prior Year Data Pull'!$A$2:$CB$593,MATCH(C85,'Prior Year Data Pull'!$A$2:$A$593,0),MATCH("Unrealized Gains/Losses",'Prior Year Data Pull'!$A$1:$CB$1,0)),"")</f>
        <v>0</v>
      </c>
      <c r="AV85" s="47">
        <f>IFERROR(INDEX('Prior Year Data Pull'!$A$2:$CB$593,MATCH(C85,'Prior Year Data Pull'!$A$2:$A$593,0),MATCH("Salary and Benefit Expense",'Prior Year Data Pull'!$A$1:$CB$1,0)),"")</f>
        <v>14705000</v>
      </c>
    </row>
    <row r="86" spans="1:48" ht="34.200000000000003" x14ac:dyDescent="0.3">
      <c r="A86" s="14" t="str">
        <f>IFERROR(INDEX('Static Data Tab'!$N$2:$N$610,MATCH(D86,'Static Data Tab'!$D$2:$D$610,0)), "")</f>
        <v>Beth Israel Lahey Health</v>
      </c>
      <c r="B86" s="14" t="s">
        <v>105</v>
      </c>
      <c r="C86" s="14">
        <v>12037</v>
      </c>
      <c r="D86" s="14">
        <v>16665</v>
      </c>
      <c r="E86" s="14" t="str">
        <f>IFERROR(INDEX('Prior Year Data Pull'!$A$1:$CB$593,MATCH(C86,'Prior Year Data Pull'!$A$1:$A$593,0),MATCH("Organization Type",'Prior Year Data Pull'!$A$1:$CB$1,0)),"")</f>
        <v>PhysicianOrganization</v>
      </c>
      <c r="F86" s="14" t="str">
        <f>IFERROR(INDEX('Static Data Tab'!$E$2:$E$610,MATCH(C86,'Static Data Tab'!$B$2:$B$610,0)), "-")</f>
        <v>-</v>
      </c>
      <c r="G86" s="14" t="str">
        <f>IFERROR(INDEX('Static Data Tab'!$J$2:$J$610,MATCH(C86,'Static Data Tab'!$B$2:$B$610,0)), "")</f>
        <v/>
      </c>
      <c r="H86" s="14" t="str">
        <f>IFERROR(INDEX('Static Data Tab'!$F$2:$F$610,MATCH(C86,'Static Data Tab'!$B$2:$B$610,0)), "")</f>
        <v/>
      </c>
      <c r="I86" s="14" t="str">
        <f>IFERROR(INDEX('Static Data Tab'!$G$2:$G$610,MATCH(C86,'Static Data Tab'!$B$2:$B$610,0)), "")</f>
        <v/>
      </c>
      <c r="J86" s="14" t="str">
        <f>IFERROR(INDEX('Prior Year Data Pull'!$A$2:$CB$593,MATCH(C86,'Prior Year Data Pull'!$A$2:$A$593,0),MATCH("Quarter Range",'Prior Year Data Pull'!$A$1:$CB$1,0)),"")</f>
        <v xml:space="preserve">10/01/2024-09/30/2025
</v>
      </c>
      <c r="K86" s="37">
        <f t="shared" si="13"/>
        <v>-0.44543036539635478</v>
      </c>
      <c r="L86" s="37">
        <f t="shared" si="14"/>
        <v>0</v>
      </c>
      <c r="M86" s="37">
        <f t="shared" si="15"/>
        <v>-0.44543036539635478</v>
      </c>
      <c r="N86" s="38">
        <f t="shared" si="16"/>
        <v>-20431000</v>
      </c>
      <c r="O86" s="39" t="str">
        <f t="shared" si="17"/>
        <v/>
      </c>
      <c r="P86" s="38">
        <f>IFERROR(INDEX('Prior Year Data Pull'!$A$2:$CB$593,MATCH('Prior Year Data Table'!$C86,'Prior Year Data Pull'!$A$2:$A$593,0),MATCH("Total Net Assets or Equity",'Prior Year Data Pull'!$A$1:$CB$1,0)),"")</f>
        <v>0</v>
      </c>
      <c r="Q86" s="38">
        <f>IFERROR(INDEX('Prior Year Data Pull'!$A$2:$CB$593,MATCH('Prior Year Data Table'!$C86,'Prior Year Data Pull'!$A$2:$A$593,0),MATCH("Total Operating Revenue",'Prior Year Data Pull'!$A$1:$CB$1,0)),"")</f>
        <v>45868000</v>
      </c>
      <c r="R86" s="38">
        <f>IFERROR(INDEX('Prior Year Data Pull'!$A$2:$CB$593,MATCH('Prior Year Data Table'!$C86,'Prior Year Data Pull'!$A$2:$A$593,0),MATCH("Total Unrestricted Revenue Gains and Other Support",'Prior Year Data Pull'!$A$1:$CB$1,0)),"")</f>
        <v>45868000</v>
      </c>
      <c r="S86" s="38">
        <f>IFERROR(INDEX('Prior Year TS Data Pull'!$K$2:$K$607,MATCH(C86,'Prior Year TS Data Pull'!$A$2:$A$607,0))+INDEX('Prior Year TS Data Pull'!$O$2:$O$119,MATCH(C86,'Prior Year TS Data Pull'!$A$2:$A$607,0))+INDEX('Prior Year TS Data Pull'!$S$2:$S$119,MATCH(C86,'Prior Year TS Data Pull'!$A$2:$A$607,0)),"")</f>
        <v>366277</v>
      </c>
      <c r="T86" s="38">
        <f>IF(INDEX('Prior Year TS Data Pull'!$A$1:$O$607,MATCH(C86,'Prior Year TS Data Pull'!$A$1:$A$607,0),MATCH("Temporary RN Staffing:
Line Reported on in Standardized Financials",'Prior Year TS Data Pull'!$A$1:$O$1,0))="66.1: Salary and Benefit Expense",'Prior Year Data Table'!$AV86-'Prior Year Data Table'!$S86,0)</f>
        <v>53778723</v>
      </c>
      <c r="U86" s="38">
        <f>IFERROR(INDEX('Prior Year Data Pull'!$A$2:$CB$593,MATCH(C86,'Prior Year Data Pull'!$A$2:$A$593,0),MATCH("Total Expenses Including Nonrecurring Gains Losses",'Prior Year Data Pull'!$A$1:$CB$1,0)),"")</f>
        <v>66299000</v>
      </c>
      <c r="V86" s="41">
        <f t="shared" si="18"/>
        <v>0</v>
      </c>
      <c r="W86" s="41">
        <f t="shared" si="19"/>
        <v>0</v>
      </c>
      <c r="X86" s="41">
        <f t="shared" si="20"/>
        <v>0</v>
      </c>
      <c r="Y86" s="37" t="str">
        <f t="shared" si="21"/>
        <v/>
      </c>
      <c r="Z86" s="41">
        <f t="shared" si="22"/>
        <v>0</v>
      </c>
      <c r="AA86" s="39" t="str">
        <f t="shared" si="23"/>
        <v/>
      </c>
      <c r="AB86" s="37" t="str">
        <f t="shared" si="24"/>
        <v/>
      </c>
      <c r="AC86" s="37" t="str">
        <f t="shared" si="25"/>
        <v/>
      </c>
      <c r="AD86" s="38">
        <f>IFERROR(INDEX('Prior Year Data Pull'!$A$2:$CB$593,MATCH(C86,'Prior Year Data Pull'!$A$2:$A$593,0),MATCH("Net Patient Service Revenue",'Prior Year Data Pull'!$A$1:$CB$1,0)),"")</f>
        <v>39628000</v>
      </c>
      <c r="AE86" s="38">
        <f>IFERROR(INDEX('Prior Year Data Pull'!$A$2:$CB$593,MATCH(C86,'Prior Year Data Pull'!$A$2:$A$593,0),MATCH("Total Current Assets",'Prior Year Data Pull'!$A$1:$CB$1,0)),"")</f>
        <v>0</v>
      </c>
      <c r="AF86" s="38">
        <f>IFERROR(INDEX('Prior Year Data Pull'!$A$2:$CB$593,MATCH(C86,'Prior Year Data Pull'!$A$2:$A$593,0),MATCH("Total Current Liabilities",'Prior Year Data Pull'!$A$1:$CB$1,0)),"")</f>
        <v>0</v>
      </c>
      <c r="AG86" s="38">
        <f>IFERROR(INDEX('Prior Year Data Pull'!$A$2:$CB$593,MATCH(C86,'Prior Year Data Pull'!$A$2:$A$593,0),MATCH("Total Non Operating Revenue",'Prior Year Data Pull'!$A$1:$CB$1,0)),"")</f>
        <v>0</v>
      </c>
      <c r="AH86" s="38">
        <f>IFERROR(INDEX('Prior Year Data Pull'!$A$2:$CB$593,MATCH(C86,'Prior Year Data Pull'!$A$2:$A$593,0),MATCH("Less Accumulated Depreciation",'Prior Year Data Pull'!$A$1:$CB$1,0)),"")</f>
        <v>0</v>
      </c>
      <c r="AI86" s="38">
        <f>IFERROR(INDEX('Prior Year Data Pull'!$A$2:$CB$593,MATCH(C86,'Prior Year Data Pull'!$A$2:$A$593,0),MATCH("Depreciation and Amortization Expense",'Prior Year Data Pull'!$A$1:$CB$1,0)),"")</f>
        <v>717000</v>
      </c>
      <c r="AJ86" s="38">
        <f>IFERROR(INDEX('Prior Year Data Pull'!$A$2:$CB$593,MATCH(C86,'Prior Year Data Pull'!$A$2:$A$593,0),MATCH("Net Patient Accounts Receivable",'Prior Year Data Pull'!$A$1:$CB$1,0)),"")</f>
        <v>0</v>
      </c>
      <c r="AK86" s="14">
        <v>365</v>
      </c>
      <c r="AL86" s="38">
        <f>IFERROR(INDEX('Prior Year Data Pull'!$A$2:$CB$593,MATCH(C86,'Prior Year Data Pull'!$A$2:$A$593,0),MATCH("Estimated Third Party Settlements",'Prior Year Data Pull'!$A$1:$CB$1,0)),"")</f>
        <v>0</v>
      </c>
      <c r="AM86" s="38">
        <f>IFERROR(INDEX('Prior Year Data Pull'!$A$2:$CB$593,MATCH(C86,'Prior Year Data Pull'!$A$2:$A$593,0),MATCH("Current Liabilities due to Affiliates",'Prior Year Data Pull'!$A$1:$CB$1,0)),"")</f>
        <v>0</v>
      </c>
      <c r="AN86" s="38">
        <f>IFERROR(INDEX('Prior Year Data Pull'!$A$2:$CB$593,MATCH(C86,'Prior Year Data Pull'!$A$2:$A$593,0),MATCH("Short Term Investments",'Prior Year Data Pull'!$A$1:$CB$1,0)),"")</f>
        <v>0</v>
      </c>
      <c r="AO86" s="38">
        <f>IFERROR(INDEX('Prior Year Data Pull'!$A$2:$CB$593,MATCH(C86,'Prior Year Data Pull'!$A$2:$A$593,0),MATCH("Cash and Cash Equivalents",'Prior Year Data Pull'!$A$1:$CB$1,0)),"")</f>
        <v>0</v>
      </c>
      <c r="AP86" s="38">
        <f>IFERROR(INDEX('Prior Year Data Pull'!$A$2:$CB$593,MATCH(C86,'Prior Year Data Pull'!$A$2:$A$593,0),MATCH("Interest Expense",'Prior Year Data Pull'!$A$1:$CB$1,0)),"")</f>
        <v>0</v>
      </c>
      <c r="AQ86" s="38">
        <f>IFERROR(INDEX('Prior Year Data Pull'!$A$2:$CB$593,MATCH(C86,'Prior Year Data Pull'!$A$2:$A$593,0),MATCH("Long Term Debt Net of Current Portion",'Prior Year Data Pull'!$A$1:$CB$1,0)),"")</f>
        <v>0</v>
      </c>
      <c r="AR86" s="38">
        <f>IFERROR(INDEX('Prior Year Data Pull'!$A$2:$CB$593,MATCH(C86,'Prior Year Data Pull'!$A$2:$A$593,0),MATCH("Total Assets",'Prior Year Data Pull'!$A$1:$CB$1,0)),"")</f>
        <v>0</v>
      </c>
      <c r="AS86" s="38">
        <f>IFERROR(INDEX('Prior Year Data Pull'!$A$2:$CB$593,MATCH(C86,'Prior Year Data Pull'!$A$2:$A$593,0),MATCH("Long Term Debt Net of Current Portion",'Prior Year Data Pull'!$A$1:$CB$1,0)),"")</f>
        <v>0</v>
      </c>
      <c r="AT86" s="38">
        <f>IFERROR(INDEX('Prior Year Data Pull'!$A$2:$CB$593,MATCH(C86,'Prior Year Data Pull'!$A$2:$A$593,0),MATCH("Net Unrestricted Assets",'Prior Year Data Pull'!$A$1:$CB$1,0)),"")</f>
        <v>0</v>
      </c>
      <c r="AU86" s="38">
        <f>IFERROR(INDEX('Prior Year Data Pull'!$A$2:$CB$593,MATCH(C86,'Prior Year Data Pull'!$A$2:$A$593,0),MATCH("Unrealized Gains/Losses",'Prior Year Data Pull'!$A$1:$CB$1,0)),"")</f>
        <v>0</v>
      </c>
      <c r="AV86" s="38">
        <f>IFERROR(INDEX('Prior Year Data Pull'!$A$2:$CB$593,MATCH(C86,'Prior Year Data Pull'!$A$2:$A$593,0),MATCH("Salary and Benefit Expense",'Prior Year Data Pull'!$A$1:$CB$1,0)),"")</f>
        <v>54145000</v>
      </c>
    </row>
    <row r="87" spans="1:48" ht="34.200000000000003" x14ac:dyDescent="0.3">
      <c r="A87" s="46" t="str">
        <f>IFERROR(INDEX('Static Data Tab'!$N$2:$N$610,MATCH(D87,'Static Data Tab'!$D$2:$D$610,0)), "")</f>
        <v>Berkshire Health Systems</v>
      </c>
      <c r="B87" s="46" t="s">
        <v>89</v>
      </c>
      <c r="C87" s="46">
        <v>12118</v>
      </c>
      <c r="D87" s="46">
        <v>3106</v>
      </c>
      <c r="E87" s="46" t="str">
        <f>IFERROR(INDEX('Prior Year Data Pull'!$A$1:$CB$593,MATCH(C87,'Prior Year Data Pull'!$A$1:$A$593,0),MATCH("Organization Type",'Prior Year Data Pull'!$A$1:$CB$1,0)),"")</f>
        <v>PhysicianOrganization</v>
      </c>
      <c r="F87" s="46" t="str">
        <f>IFERROR(INDEX('Static Data Tab'!$E$2:$E$610,MATCH(C87,'Static Data Tab'!$B$2:$B$610,0)), "-")</f>
        <v>-</v>
      </c>
      <c r="G87" s="46" t="str">
        <f>IFERROR(INDEX('Static Data Tab'!$J$2:$J$610,MATCH(C87,'Static Data Tab'!$B$2:$B$610,0)), "")</f>
        <v/>
      </c>
      <c r="H87" s="46" t="str">
        <f>IFERROR(INDEX('Static Data Tab'!$F$2:$F$610,MATCH(C87,'Static Data Tab'!$B$2:$B$610,0)), "")</f>
        <v/>
      </c>
      <c r="I87" s="46" t="str">
        <f>IFERROR(INDEX('Static Data Tab'!$G$2:$G$610,MATCH(C87,'Static Data Tab'!$B$2:$B$610,0)), "")</f>
        <v/>
      </c>
      <c r="J87" s="46" t="str">
        <f>IFERROR(INDEX('Prior Year Data Pull'!$A$2:$CB$593,MATCH(C87,'Prior Year Data Pull'!$A$2:$A$593,0),MATCH("Quarter Range",'Prior Year Data Pull'!$A$1:$CB$1,0)),"")</f>
        <v xml:space="preserve">10/01/2024-09/30/2025
</v>
      </c>
      <c r="K87" s="45">
        <f t="shared" si="13"/>
        <v>-0.51790792847850597</v>
      </c>
      <c r="L87" s="45">
        <f t="shared" si="14"/>
        <v>0</v>
      </c>
      <c r="M87" s="45">
        <f t="shared" si="15"/>
        <v>-0.51790792847850597</v>
      </c>
      <c r="N87" s="47">
        <f t="shared" si="16"/>
        <v>-5460078</v>
      </c>
      <c r="O87" s="265" t="str">
        <f t="shared" si="17"/>
        <v/>
      </c>
      <c r="P87" s="47">
        <f>IFERROR(INDEX('Prior Year Data Pull'!$A$2:$CB$593,MATCH('Prior Year Data Table'!$C87,'Prior Year Data Pull'!$A$2:$A$593,0),MATCH("Total Net Assets or Equity",'Prior Year Data Pull'!$A$1:$CB$1,0)),"")</f>
        <v>0</v>
      </c>
      <c r="Q87" s="47">
        <f>IFERROR(INDEX('Prior Year Data Pull'!$A$2:$CB$593,MATCH('Prior Year Data Table'!$C87,'Prior Year Data Pull'!$A$2:$A$593,0),MATCH("Total Operating Revenue",'Prior Year Data Pull'!$A$1:$CB$1,0)),"")</f>
        <v>10542565</v>
      </c>
      <c r="R87" s="47">
        <f>IFERROR(INDEX('Prior Year Data Pull'!$A$2:$CB$593,MATCH('Prior Year Data Table'!$C87,'Prior Year Data Pull'!$A$2:$A$593,0),MATCH("Total Unrestricted Revenue Gains and Other Support",'Prior Year Data Pull'!$A$1:$CB$1,0)),"")</f>
        <v>10542565</v>
      </c>
      <c r="S87" s="47">
        <f>IFERROR(INDEX('Prior Year TS Data Pull'!$K$2:$K$607,MATCH(C87,'Prior Year TS Data Pull'!$A$2:$A$607,0))+INDEX('Prior Year TS Data Pull'!$O$2:$O$119,MATCH(C87,'Prior Year TS Data Pull'!$A$2:$A$607,0))+INDEX('Prior Year TS Data Pull'!$S$2:$S$119,MATCH(C87,'Prior Year TS Data Pull'!$A$2:$A$607,0)),"")</f>
        <v>69300</v>
      </c>
      <c r="T87" s="47">
        <f>IF(INDEX('Prior Year TS Data Pull'!$A$1:$O$607,MATCH(C87,'Prior Year TS Data Pull'!$A$1:$A$607,0),MATCH("Temporary RN Staffing:
Line Reported on in Standardized Financials",'Prior Year TS Data Pull'!$A$1:$O$1,0))="66.1: Salary and Benefit Expense",'Prior Year Data Table'!$AV87-'Prior Year Data Table'!$S87,0)</f>
        <v>0</v>
      </c>
      <c r="U87" s="47">
        <f>IFERROR(INDEX('Prior Year Data Pull'!$A$2:$CB$593,MATCH(C87,'Prior Year Data Pull'!$A$2:$A$593,0),MATCH("Total Expenses Including Nonrecurring Gains Losses",'Prior Year Data Pull'!$A$1:$CB$1,0)),"")</f>
        <v>16002643</v>
      </c>
      <c r="V87" s="266" t="str">
        <f t="shared" si="18"/>
        <v/>
      </c>
      <c r="W87" s="266">
        <f t="shared" si="19"/>
        <v>0</v>
      </c>
      <c r="X87" s="266">
        <f t="shared" si="20"/>
        <v>0</v>
      </c>
      <c r="Y87" s="45" t="str">
        <f t="shared" si="21"/>
        <v/>
      </c>
      <c r="Z87" s="266">
        <f t="shared" si="22"/>
        <v>0</v>
      </c>
      <c r="AA87" s="265" t="str">
        <f t="shared" si="23"/>
        <v/>
      </c>
      <c r="AB87" s="45" t="str">
        <f t="shared" si="24"/>
        <v/>
      </c>
      <c r="AC87" s="45" t="str">
        <f t="shared" si="25"/>
        <v/>
      </c>
      <c r="AD87" s="47">
        <f>IFERROR(INDEX('Prior Year Data Pull'!$A$2:$CB$593,MATCH(C87,'Prior Year Data Pull'!$A$2:$A$593,0),MATCH("Net Patient Service Revenue",'Prior Year Data Pull'!$A$1:$CB$1,0)),"")</f>
        <v>10385107</v>
      </c>
      <c r="AE87" s="47">
        <f>IFERROR(INDEX('Prior Year Data Pull'!$A$2:$CB$593,MATCH(C87,'Prior Year Data Pull'!$A$2:$A$593,0),MATCH("Total Current Assets",'Prior Year Data Pull'!$A$1:$CB$1,0)),"")</f>
        <v>0</v>
      </c>
      <c r="AF87" s="47">
        <f>IFERROR(INDEX('Prior Year Data Pull'!$A$2:$CB$593,MATCH(C87,'Prior Year Data Pull'!$A$2:$A$593,0),MATCH("Total Current Liabilities",'Prior Year Data Pull'!$A$1:$CB$1,0)),"")</f>
        <v>0</v>
      </c>
      <c r="AG87" s="47">
        <f>IFERROR(INDEX('Prior Year Data Pull'!$A$2:$CB$593,MATCH(C87,'Prior Year Data Pull'!$A$2:$A$593,0),MATCH("Total Non Operating Revenue",'Prior Year Data Pull'!$A$1:$CB$1,0)),"")</f>
        <v>0</v>
      </c>
      <c r="AH87" s="47">
        <f>IFERROR(INDEX('Prior Year Data Pull'!$A$2:$CB$593,MATCH(C87,'Prior Year Data Pull'!$A$2:$A$593,0),MATCH("Less Accumulated Depreciation",'Prior Year Data Pull'!$A$1:$CB$1,0)),"")</f>
        <v>0</v>
      </c>
      <c r="AI87" s="47">
        <f>IFERROR(INDEX('Prior Year Data Pull'!$A$2:$CB$593,MATCH(C87,'Prior Year Data Pull'!$A$2:$A$593,0),MATCH("Depreciation and Amortization Expense",'Prior Year Data Pull'!$A$1:$CB$1,0)),"")</f>
        <v>0</v>
      </c>
      <c r="AJ87" s="47">
        <f>IFERROR(INDEX('Prior Year Data Pull'!$A$2:$CB$593,MATCH(C87,'Prior Year Data Pull'!$A$2:$A$593,0),MATCH("Net Patient Accounts Receivable",'Prior Year Data Pull'!$A$1:$CB$1,0)),"")</f>
        <v>0</v>
      </c>
      <c r="AK87" s="46">
        <v>365</v>
      </c>
      <c r="AL87" s="47">
        <f>IFERROR(INDEX('Prior Year Data Pull'!$A$2:$CB$593,MATCH(C87,'Prior Year Data Pull'!$A$2:$A$593,0),MATCH("Estimated Third Party Settlements",'Prior Year Data Pull'!$A$1:$CB$1,0)),"")</f>
        <v>0</v>
      </c>
      <c r="AM87" s="47">
        <f>IFERROR(INDEX('Prior Year Data Pull'!$A$2:$CB$593,MATCH(C87,'Prior Year Data Pull'!$A$2:$A$593,0),MATCH("Current Liabilities due to Affiliates",'Prior Year Data Pull'!$A$1:$CB$1,0)),"")</f>
        <v>0</v>
      </c>
      <c r="AN87" s="47">
        <f>IFERROR(INDEX('Prior Year Data Pull'!$A$2:$CB$593,MATCH(C87,'Prior Year Data Pull'!$A$2:$A$593,0),MATCH("Short Term Investments",'Prior Year Data Pull'!$A$1:$CB$1,0)),"")</f>
        <v>0</v>
      </c>
      <c r="AO87" s="47">
        <f>IFERROR(INDEX('Prior Year Data Pull'!$A$2:$CB$593,MATCH(C87,'Prior Year Data Pull'!$A$2:$A$593,0),MATCH("Cash and Cash Equivalents",'Prior Year Data Pull'!$A$1:$CB$1,0)),"")</f>
        <v>0</v>
      </c>
      <c r="AP87" s="47">
        <f>IFERROR(INDEX('Prior Year Data Pull'!$A$2:$CB$593,MATCH(C87,'Prior Year Data Pull'!$A$2:$A$593,0),MATCH("Interest Expense",'Prior Year Data Pull'!$A$1:$CB$1,0)),"")</f>
        <v>0</v>
      </c>
      <c r="AQ87" s="47">
        <f>IFERROR(INDEX('Prior Year Data Pull'!$A$2:$CB$593,MATCH(C87,'Prior Year Data Pull'!$A$2:$A$593,0),MATCH("Long Term Debt Net of Current Portion",'Prior Year Data Pull'!$A$1:$CB$1,0)),"")</f>
        <v>0</v>
      </c>
      <c r="AR87" s="47">
        <f>IFERROR(INDEX('Prior Year Data Pull'!$A$2:$CB$593,MATCH(C87,'Prior Year Data Pull'!$A$2:$A$593,0),MATCH("Total Assets",'Prior Year Data Pull'!$A$1:$CB$1,0)),"")</f>
        <v>0</v>
      </c>
      <c r="AS87" s="47">
        <f>IFERROR(INDEX('Prior Year Data Pull'!$A$2:$CB$593,MATCH(C87,'Prior Year Data Pull'!$A$2:$A$593,0),MATCH("Long Term Debt Net of Current Portion",'Prior Year Data Pull'!$A$1:$CB$1,0)),"")</f>
        <v>0</v>
      </c>
      <c r="AT87" s="47">
        <f>IFERROR(INDEX('Prior Year Data Pull'!$A$2:$CB$593,MATCH(C87,'Prior Year Data Pull'!$A$2:$A$593,0),MATCH("Net Unrestricted Assets",'Prior Year Data Pull'!$A$1:$CB$1,0)),"")</f>
        <v>0</v>
      </c>
      <c r="AU87" s="47">
        <f>IFERROR(INDEX('Prior Year Data Pull'!$A$2:$CB$593,MATCH(C87,'Prior Year Data Pull'!$A$2:$A$593,0),MATCH("Unrealized Gains/Losses",'Prior Year Data Pull'!$A$1:$CB$1,0)),"")</f>
        <v>0</v>
      </c>
      <c r="AV87" s="47">
        <f>IFERROR(INDEX('Prior Year Data Pull'!$A$2:$CB$593,MATCH(C87,'Prior Year Data Pull'!$A$2:$A$593,0),MATCH("Salary and Benefit Expense",'Prior Year Data Pull'!$A$1:$CB$1,0)),"")</f>
        <v>13230612</v>
      </c>
    </row>
    <row r="88" spans="1:48" ht="34.200000000000003" x14ac:dyDescent="0.3">
      <c r="A88" s="14" t="str">
        <f>IFERROR(INDEX('Static Data Tab'!$N$2:$N$610,MATCH(D88,'Static Data Tab'!$D$2:$D$610,0)), "")</f>
        <v>Trinity Health</v>
      </c>
      <c r="B88" s="14" t="s">
        <v>185</v>
      </c>
      <c r="C88" s="14">
        <v>12151</v>
      </c>
      <c r="D88" s="14">
        <v>14288</v>
      </c>
      <c r="E88" s="14" t="str">
        <f>IFERROR(INDEX('Prior Year Data Pull'!$A$1:$CB$593,MATCH(C88,'Prior Year Data Pull'!$A$1:$A$593,0),MATCH("Organization Type",'Prior Year Data Pull'!$A$1:$CB$1,0)),"")</f>
        <v>PhysicianOrganization</v>
      </c>
      <c r="F88" s="14" t="str">
        <f>IFERROR(INDEX('Static Data Tab'!$E$2:$E$610,MATCH(C88,'Static Data Tab'!$B$2:$B$610,0)), "-")</f>
        <v>-</v>
      </c>
      <c r="G88" s="14" t="str">
        <f>IFERROR(INDEX('Static Data Tab'!$J$2:$J$610,MATCH(C88,'Static Data Tab'!$B$2:$B$610,0)), "")</f>
        <v/>
      </c>
      <c r="H88" s="14" t="str">
        <f>IFERROR(INDEX('Static Data Tab'!$F$2:$F$610,MATCH(C88,'Static Data Tab'!$B$2:$B$610,0)), "")</f>
        <v/>
      </c>
      <c r="I88" s="14" t="str">
        <f>IFERROR(INDEX('Static Data Tab'!$G$2:$G$610,MATCH(C88,'Static Data Tab'!$B$2:$B$610,0)), "")</f>
        <v/>
      </c>
      <c r="J88" s="14" t="str">
        <f>IFERROR(INDEX('Prior Year Data Pull'!$A$2:$CB$593,MATCH(C88,'Prior Year Data Pull'!$A$2:$A$593,0),MATCH("Quarter Range",'Prior Year Data Pull'!$A$1:$CB$1,0)),"")</f>
        <v xml:space="preserve">07/01/2024-06/30/2025
</v>
      </c>
      <c r="K88" s="37">
        <f t="shared" si="13"/>
        <v>-0.18358149678251107</v>
      </c>
      <c r="L88" s="37">
        <f t="shared" si="14"/>
        <v>0</v>
      </c>
      <c r="M88" s="37">
        <f t="shared" si="15"/>
        <v>-0.18358149678251107</v>
      </c>
      <c r="N88" s="38">
        <f t="shared" si="16"/>
        <v>-4105621</v>
      </c>
      <c r="O88" s="39" t="str">
        <f t="shared" si="17"/>
        <v/>
      </c>
      <c r="P88" s="38">
        <f>IFERROR(INDEX('Prior Year Data Pull'!$A$2:$CB$593,MATCH('Prior Year Data Table'!$C88,'Prior Year Data Pull'!$A$2:$A$593,0),MATCH("Total Net Assets or Equity",'Prior Year Data Pull'!$A$1:$CB$1,0)),"")</f>
        <v>0</v>
      </c>
      <c r="Q88" s="38">
        <f>IFERROR(INDEX('Prior Year Data Pull'!$A$2:$CB$593,MATCH('Prior Year Data Table'!$C88,'Prior Year Data Pull'!$A$2:$A$593,0),MATCH("Total Operating Revenue",'Prior Year Data Pull'!$A$1:$CB$1,0)),"")</f>
        <v>22364024</v>
      </c>
      <c r="R88" s="38">
        <f>IFERROR(INDEX('Prior Year Data Pull'!$A$2:$CB$593,MATCH('Prior Year Data Table'!$C88,'Prior Year Data Pull'!$A$2:$A$593,0),MATCH("Total Unrestricted Revenue Gains and Other Support",'Prior Year Data Pull'!$A$1:$CB$1,0)),"")</f>
        <v>22364024</v>
      </c>
      <c r="S88" s="38">
        <f>IFERROR(INDEX('Prior Year TS Data Pull'!$K$2:$K$607,MATCH(C88,'Prior Year TS Data Pull'!$A$2:$A$607,0))+INDEX('Prior Year TS Data Pull'!$O$2:$O$119,MATCH(C88,'Prior Year TS Data Pull'!$A$2:$A$607,0))+INDEX('Prior Year TS Data Pull'!$S$2:$S$119,MATCH(C88,'Prior Year TS Data Pull'!$A$2:$A$607,0)),"")</f>
        <v>403111</v>
      </c>
      <c r="T88" s="38">
        <f>IF(INDEX('Prior Year TS Data Pull'!$A$1:$O$607,MATCH(C88,'Prior Year TS Data Pull'!$A$1:$A$607,0),MATCH("Temporary RN Staffing:
Line Reported on in Standardized Financials",'Prior Year TS Data Pull'!$A$1:$O$1,0))="66.1: Salary and Benefit Expense",'Prior Year Data Table'!$AV88-'Prior Year Data Table'!$S88,0)</f>
        <v>0</v>
      </c>
      <c r="U88" s="38">
        <f>IFERROR(INDEX('Prior Year Data Pull'!$A$2:$CB$593,MATCH(C88,'Prior Year Data Pull'!$A$2:$A$593,0),MATCH("Total Expenses Including Nonrecurring Gains Losses",'Prior Year Data Pull'!$A$1:$CB$1,0)),"")</f>
        <v>26469645</v>
      </c>
      <c r="V88" s="41">
        <f t="shared" si="18"/>
        <v>0</v>
      </c>
      <c r="W88" s="41">
        <f t="shared" si="19"/>
        <v>0</v>
      </c>
      <c r="X88" s="41">
        <f t="shared" si="20"/>
        <v>0</v>
      </c>
      <c r="Y88" s="37" t="str">
        <f t="shared" si="21"/>
        <v/>
      </c>
      <c r="Z88" s="41">
        <f t="shared" si="22"/>
        <v>0</v>
      </c>
      <c r="AA88" s="39">
        <f t="shared" si="23"/>
        <v>-32601.487804878048</v>
      </c>
      <c r="AB88" s="37" t="str">
        <f t="shared" si="24"/>
        <v/>
      </c>
      <c r="AC88" s="37" t="str">
        <f t="shared" si="25"/>
        <v/>
      </c>
      <c r="AD88" s="38">
        <f>IFERROR(INDEX('Prior Year Data Pull'!$A$2:$CB$593,MATCH(C88,'Prior Year Data Pull'!$A$2:$A$593,0),MATCH("Net Patient Service Revenue",'Prior Year Data Pull'!$A$1:$CB$1,0)),"")</f>
        <v>10647250</v>
      </c>
      <c r="AE88" s="38">
        <f>IFERROR(INDEX('Prior Year Data Pull'!$A$2:$CB$593,MATCH(C88,'Prior Year Data Pull'!$A$2:$A$593,0),MATCH("Total Current Assets",'Prior Year Data Pull'!$A$1:$CB$1,0)),"")</f>
        <v>0</v>
      </c>
      <c r="AF88" s="38">
        <f>IFERROR(INDEX('Prior Year Data Pull'!$A$2:$CB$593,MATCH(C88,'Prior Year Data Pull'!$A$2:$A$593,0),MATCH("Total Current Liabilities",'Prior Year Data Pull'!$A$1:$CB$1,0)),"")</f>
        <v>0</v>
      </c>
      <c r="AG88" s="38">
        <f>IFERROR(INDEX('Prior Year Data Pull'!$A$2:$CB$593,MATCH(C88,'Prior Year Data Pull'!$A$2:$A$593,0),MATCH("Total Non Operating Revenue",'Prior Year Data Pull'!$A$1:$CB$1,0)),"")</f>
        <v>0</v>
      </c>
      <c r="AH88" s="38">
        <f>IFERROR(INDEX('Prior Year Data Pull'!$A$2:$CB$593,MATCH(C88,'Prior Year Data Pull'!$A$2:$A$593,0),MATCH("Less Accumulated Depreciation",'Prior Year Data Pull'!$A$1:$CB$1,0)),"")</f>
        <v>0</v>
      </c>
      <c r="AI88" s="38">
        <f>IFERROR(INDEX('Prior Year Data Pull'!$A$2:$CB$593,MATCH(C88,'Prior Year Data Pull'!$A$2:$A$593,0),MATCH("Depreciation and Amortization Expense",'Prior Year Data Pull'!$A$1:$CB$1,0)),"")</f>
        <v>95515</v>
      </c>
      <c r="AJ88" s="38">
        <f>IFERROR(INDEX('Prior Year Data Pull'!$A$2:$CB$593,MATCH(C88,'Prior Year Data Pull'!$A$2:$A$593,0),MATCH("Net Patient Accounts Receivable",'Prior Year Data Pull'!$A$1:$CB$1,0)),"")</f>
        <v>0</v>
      </c>
      <c r="AK88" s="14">
        <v>365</v>
      </c>
      <c r="AL88" s="38">
        <f>IFERROR(INDEX('Prior Year Data Pull'!$A$2:$CB$593,MATCH(C88,'Prior Year Data Pull'!$A$2:$A$593,0),MATCH("Estimated Third Party Settlements",'Prior Year Data Pull'!$A$1:$CB$1,0)),"")</f>
        <v>0</v>
      </c>
      <c r="AM88" s="38">
        <f>IFERROR(INDEX('Prior Year Data Pull'!$A$2:$CB$593,MATCH(C88,'Prior Year Data Pull'!$A$2:$A$593,0),MATCH("Current Liabilities due to Affiliates",'Prior Year Data Pull'!$A$1:$CB$1,0)),"")</f>
        <v>0</v>
      </c>
      <c r="AN88" s="38">
        <f>IFERROR(INDEX('Prior Year Data Pull'!$A$2:$CB$593,MATCH(C88,'Prior Year Data Pull'!$A$2:$A$593,0),MATCH("Short Term Investments",'Prior Year Data Pull'!$A$1:$CB$1,0)),"")</f>
        <v>0</v>
      </c>
      <c r="AO88" s="38">
        <f>IFERROR(INDEX('Prior Year Data Pull'!$A$2:$CB$593,MATCH(C88,'Prior Year Data Pull'!$A$2:$A$593,0),MATCH("Cash and Cash Equivalents",'Prior Year Data Pull'!$A$1:$CB$1,0)),"")</f>
        <v>0</v>
      </c>
      <c r="AP88" s="38">
        <f>IFERROR(INDEX('Prior Year Data Pull'!$A$2:$CB$593,MATCH(C88,'Prior Year Data Pull'!$A$2:$A$593,0),MATCH("Interest Expense",'Prior Year Data Pull'!$A$1:$CB$1,0)),"")</f>
        <v>123</v>
      </c>
      <c r="AQ88" s="38">
        <f>IFERROR(INDEX('Prior Year Data Pull'!$A$2:$CB$593,MATCH(C88,'Prior Year Data Pull'!$A$2:$A$593,0),MATCH("Long Term Debt Net of Current Portion",'Prior Year Data Pull'!$A$1:$CB$1,0)),"")</f>
        <v>0</v>
      </c>
      <c r="AR88" s="38">
        <f>IFERROR(INDEX('Prior Year Data Pull'!$A$2:$CB$593,MATCH(C88,'Prior Year Data Pull'!$A$2:$A$593,0),MATCH("Total Assets",'Prior Year Data Pull'!$A$1:$CB$1,0)),"")</f>
        <v>0</v>
      </c>
      <c r="AS88" s="38">
        <f>IFERROR(INDEX('Prior Year Data Pull'!$A$2:$CB$593,MATCH(C88,'Prior Year Data Pull'!$A$2:$A$593,0),MATCH("Long Term Debt Net of Current Portion",'Prior Year Data Pull'!$A$1:$CB$1,0)),"")</f>
        <v>0</v>
      </c>
      <c r="AT88" s="38">
        <f>IFERROR(INDEX('Prior Year Data Pull'!$A$2:$CB$593,MATCH(C88,'Prior Year Data Pull'!$A$2:$A$593,0),MATCH("Net Unrestricted Assets",'Prior Year Data Pull'!$A$1:$CB$1,0)),"")</f>
        <v>0</v>
      </c>
      <c r="AU88" s="38">
        <f>IFERROR(INDEX('Prior Year Data Pull'!$A$2:$CB$593,MATCH(C88,'Prior Year Data Pull'!$A$2:$A$593,0),MATCH("Unrealized Gains/Losses",'Prior Year Data Pull'!$A$1:$CB$1,0)),"")</f>
        <v>0</v>
      </c>
      <c r="AV88" s="38">
        <f>IFERROR(INDEX('Prior Year Data Pull'!$A$2:$CB$593,MATCH(C88,'Prior Year Data Pull'!$A$2:$A$593,0),MATCH("Salary and Benefit Expense",'Prior Year Data Pull'!$A$1:$CB$1,0)),"")</f>
        <v>21682498</v>
      </c>
    </row>
    <row r="89" spans="1:48" ht="34.200000000000003" x14ac:dyDescent="0.3">
      <c r="A89" s="46" t="str">
        <f>IFERROR(INDEX('Static Data Tab'!$N$2:$N$610,MATCH(D89,'Static Data Tab'!$D$2:$D$610,0)), "")</f>
        <v>Dana-Farber Cancer Institute and Subsid.</v>
      </c>
      <c r="B89" s="46" t="s">
        <v>127</v>
      </c>
      <c r="C89" s="46">
        <v>13155</v>
      </c>
      <c r="D89" s="46">
        <v>13155</v>
      </c>
      <c r="E89" s="46" t="str">
        <f>IFERROR(INDEX('Prior Year Data Pull'!$A$1:$CB$593,MATCH(C89,'Prior Year Data Pull'!$A$1:$A$593,0),MATCH("Organization Type",'Prior Year Data Pull'!$A$1:$CB$1,0)),"")</f>
        <v>HHS</v>
      </c>
      <c r="F89" s="46" t="str">
        <f>IFERROR(INDEX('Static Data Tab'!$E$2:$E$610,MATCH(C89,'Static Data Tab'!$B$2:$B$610,0)), "-")</f>
        <v>-</v>
      </c>
      <c r="G89" s="46" t="str">
        <f>IFERROR(INDEX('Static Data Tab'!$J$2:$J$610,MATCH(C89,'Static Data Tab'!$B$2:$B$610,0)), "")</f>
        <v/>
      </c>
      <c r="H89" s="46" t="str">
        <f>IFERROR(INDEX('Static Data Tab'!$F$2:$F$610,MATCH(C89,'Static Data Tab'!$B$2:$B$610,0)), "")</f>
        <v/>
      </c>
      <c r="I89" s="46" t="str">
        <f>IFERROR(INDEX('Static Data Tab'!$G$2:$G$610,MATCH(C89,'Static Data Tab'!$B$2:$B$610,0)), "")</f>
        <v/>
      </c>
      <c r="J89" s="46" t="str">
        <f>IFERROR(INDEX('Prior Year Data Pull'!$A$2:$CB$593,MATCH(C89,'Prior Year Data Pull'!$A$2:$A$593,0),MATCH("Quarter Range",'Prior Year Data Pull'!$A$1:$CB$1,0)),"")</f>
        <v xml:space="preserve">10/01/2024-09/30/2025
</v>
      </c>
      <c r="K89" s="45">
        <f t="shared" si="13"/>
        <v>-6.4555172275549647E-2</v>
      </c>
      <c r="L89" s="45">
        <f t="shared" si="14"/>
        <v>0.14564339397082821</v>
      </c>
      <c r="M89" s="45">
        <f t="shared" si="15"/>
        <v>8.1088221695278614E-2</v>
      </c>
      <c r="N89" s="47">
        <f t="shared" si="16"/>
        <v>338970004.76999998</v>
      </c>
      <c r="O89" s="265">
        <f t="shared" si="17"/>
        <v>1.496636597055067</v>
      </c>
      <c r="P89" s="47">
        <f>IFERROR(INDEX('Prior Year Data Pull'!$A$2:$CB$593,MATCH('Prior Year Data Table'!$C89,'Prior Year Data Pull'!$A$2:$A$593,0),MATCH("Total Net Assets or Equity",'Prior Year Data Pull'!$A$1:$CB$1,0)),"")</f>
        <v>4485155252.8789997</v>
      </c>
      <c r="Q89" s="47">
        <f>IFERROR(INDEX('Prior Year Data Pull'!$A$2:$CB$593,MATCH('Prior Year Data Table'!$C89,'Prior Year Data Pull'!$A$2:$A$593,0),MATCH("Total Operating Revenue",'Prior Year Data Pull'!$A$1:$CB$1,0)),"")</f>
        <v>3571434380.5599999</v>
      </c>
      <c r="R89" s="47">
        <f>IFERROR(INDEX('Prior Year Data Pull'!$A$2:$CB$593,MATCH('Prior Year Data Table'!$C89,'Prior Year Data Pull'!$A$2:$A$593,0),MATCH("Total Unrestricted Revenue Gains and Other Support",'Prior Year Data Pull'!$A$1:$CB$1,0)),"")</f>
        <v>4180261913.3000002</v>
      </c>
      <c r="S89" s="47" t="str">
        <f>IFERROR(INDEX('Prior Year TS Data Pull'!$K$2:$K$607,MATCH(C89,'Prior Year TS Data Pull'!$A$2:$A$607,0))+INDEX('Prior Year TS Data Pull'!$O$2:$O$119,MATCH(C89,'Prior Year TS Data Pull'!$A$2:$A$607,0))+INDEX('Prior Year TS Data Pull'!$S$2:$S$119,MATCH(C89,'Prior Year TS Data Pull'!$A$2:$A$607,0)),"")</f>
        <v/>
      </c>
      <c r="T89" s="47" t="e">
        <f>IF(INDEX('Prior Year TS Data Pull'!$A$1:$O$607,MATCH(C89,'Prior Year TS Data Pull'!$A$1:$A$607,0),MATCH("Temporary RN Staffing:
Line Reported on in Standardized Financials",'Prior Year TS Data Pull'!$A$1:$O$1,0))="66.1: Salary and Benefit Expense",'Prior Year Data Table'!$AV89-'Prior Year Data Table'!$S89,0)</f>
        <v>#VALUE!</v>
      </c>
      <c r="U89" s="47">
        <f>IFERROR(INDEX('Prior Year Data Pull'!$A$2:$CB$593,MATCH(C89,'Prior Year Data Pull'!$A$2:$A$593,0),MATCH("Total Expenses Including Nonrecurring Gains Losses",'Prior Year Data Pull'!$A$1:$CB$1,0)),"")</f>
        <v>3841291908.5300002</v>
      </c>
      <c r="V89" s="266">
        <f t="shared" si="18"/>
        <v>13.063237467698293</v>
      </c>
      <c r="W89" s="266">
        <f t="shared" si="19"/>
        <v>35.653409407645384</v>
      </c>
      <c r="X89" s="266">
        <f t="shared" si="20"/>
        <v>47.44977695585154</v>
      </c>
      <c r="Y89" s="45">
        <f t="shared" si="21"/>
        <v>0.5847511294923865</v>
      </c>
      <c r="Z89" s="266">
        <f t="shared" si="22"/>
        <v>11.828652799061594</v>
      </c>
      <c r="AA89" s="265">
        <f t="shared" si="23"/>
        <v>0.59800637366464227</v>
      </c>
      <c r="AB89" s="45">
        <f t="shared" si="24"/>
        <v>0.74826469011468788</v>
      </c>
      <c r="AC89" s="45">
        <f t="shared" si="25"/>
        <v>0.18269208296769673</v>
      </c>
      <c r="AD89" s="47">
        <f>IFERROR(INDEX('Prior Year Data Pull'!$A$2:$CB$593,MATCH(C89,'Prior Year Data Pull'!$A$2:$A$593,0),MATCH("Net Patient Service Revenue",'Prior Year Data Pull'!$A$1:$CB$1,0)),"")</f>
        <v>3033648379.5100002</v>
      </c>
      <c r="AE89" s="47">
        <f>IFERROR(INDEX('Prior Year Data Pull'!$A$2:$CB$593,MATCH(C89,'Prior Year Data Pull'!$A$2:$A$593,0),MATCH("Total Current Assets",'Prior Year Data Pull'!$A$1:$CB$1,0)),"")</f>
        <v>833597713.86800003</v>
      </c>
      <c r="AF89" s="47">
        <f>IFERROR(INDEX('Prior Year Data Pull'!$A$2:$CB$593,MATCH(C89,'Prior Year Data Pull'!$A$2:$A$593,0),MATCH("Total Current Liabilities",'Prior Year Data Pull'!$A$1:$CB$1,0)),"")</f>
        <v>556980709.61800003</v>
      </c>
      <c r="AG89" s="47">
        <f>IFERROR(INDEX('Prior Year Data Pull'!$A$2:$CB$593,MATCH(C89,'Prior Year Data Pull'!$A$2:$A$593,0),MATCH("Total Non Operating Revenue",'Prior Year Data Pull'!$A$1:$CB$1,0)),"")</f>
        <v>608827532.74000001</v>
      </c>
      <c r="AH89" s="47">
        <f>IFERROR(INDEX('Prior Year Data Pull'!$A$2:$CB$593,MATCH(C89,'Prior Year Data Pull'!$A$2:$A$593,0),MATCH("Less Accumulated Depreciation",'Prior Year Data Pull'!$A$1:$CB$1,0)),"")</f>
        <v>1294235552.0899999</v>
      </c>
      <c r="AI89" s="47">
        <f>IFERROR(INDEX('Prior Year Data Pull'!$A$2:$CB$593,MATCH(C89,'Prior Year Data Pull'!$A$2:$A$593,0),MATCH("Depreciation and Amortization Expense",'Prior Year Data Pull'!$A$1:$CB$1,0)),"")</f>
        <v>99074640.209999993</v>
      </c>
      <c r="AJ89" s="47">
        <f>IFERROR(INDEX('Prior Year Data Pull'!$A$2:$CB$593,MATCH(C89,'Prior Year Data Pull'!$A$2:$A$593,0),MATCH("Net Patient Accounts Receivable",'Prior Year Data Pull'!$A$1:$CB$1,0)),"")</f>
        <v>296328514.17400002</v>
      </c>
      <c r="AK89" s="46">
        <v>365</v>
      </c>
      <c r="AL89" s="47">
        <f>IFERROR(INDEX('Prior Year Data Pull'!$A$2:$CB$593,MATCH(C89,'Prior Year Data Pull'!$A$2:$A$593,0),MATCH("Estimated Third Party Settlements",'Prior Year Data Pull'!$A$1:$CB$1,0)),"")</f>
        <v>70494751.530000001</v>
      </c>
      <c r="AM89" s="47">
        <f>IFERROR(INDEX('Prior Year Data Pull'!$A$2:$CB$593,MATCH(C89,'Prior Year Data Pull'!$A$2:$A$593,0),MATCH("Current Liabilities due to Affiliates",'Prior Year Data Pull'!$A$1:$CB$1,0)),"")</f>
        <v>0</v>
      </c>
      <c r="AN89" s="47">
        <f>IFERROR(INDEX('Prior Year Data Pull'!$A$2:$CB$593,MATCH(C89,'Prior Year Data Pull'!$A$2:$A$593,0),MATCH("Short Term Investments",'Prior Year Data Pull'!$A$1:$CB$1,0)),"")</f>
        <v>0</v>
      </c>
      <c r="AO89" s="47">
        <f>IFERROR(INDEX('Prior Year Data Pull'!$A$2:$CB$593,MATCH(C89,'Prior Year Data Pull'!$A$2:$A$593,0),MATCH("Cash and Cash Equivalents",'Prior Year Data Pull'!$A$1:$CB$1,0)),"")</f>
        <v>121275037.714</v>
      </c>
      <c r="AP89" s="47">
        <f>IFERROR(INDEX('Prior Year Data Pull'!$A$2:$CB$593,MATCH(C89,'Prior Year Data Pull'!$A$2:$A$593,0),MATCH("Interest Expense",'Prior Year Data Pull'!$A$1:$CB$1,0)),"")</f>
        <v>17469439.390000001</v>
      </c>
      <c r="AQ89" s="47">
        <f>IFERROR(INDEX('Prior Year Data Pull'!$A$2:$CB$593,MATCH(C89,'Prior Year Data Pull'!$A$2:$A$593,0),MATCH("Long Term Debt Net of Current Portion",'Prior Year Data Pull'!$A$1:$CB$1,0)),"")</f>
        <v>529798108.51999998</v>
      </c>
      <c r="AR89" s="47">
        <f>IFERROR(INDEX('Prior Year Data Pull'!$A$2:$CB$593,MATCH(C89,'Prior Year Data Pull'!$A$2:$A$593,0),MATCH("Total Assets",'Prior Year Data Pull'!$A$1:$CB$1,0)),"")</f>
        <v>5994075775.7679996</v>
      </c>
      <c r="AS89" s="47">
        <f>IFERROR(INDEX('Prior Year Data Pull'!$A$2:$CB$593,MATCH(C89,'Prior Year Data Pull'!$A$2:$A$593,0),MATCH("Long Term Debt Net of Current Portion",'Prior Year Data Pull'!$A$1:$CB$1,0)),"")</f>
        <v>529798108.51999998</v>
      </c>
      <c r="AT89" s="47">
        <f>IFERROR(INDEX('Prior Year Data Pull'!$A$2:$CB$593,MATCH(C89,'Prior Year Data Pull'!$A$2:$A$593,0),MATCH("Net Unrestricted Assets",'Prior Year Data Pull'!$A$1:$CB$1,0)),"")</f>
        <v>2370153000</v>
      </c>
      <c r="AU89" s="47">
        <f>IFERROR(INDEX('Prior Year Data Pull'!$A$2:$CB$593,MATCH(C89,'Prior Year Data Pull'!$A$2:$A$593,0),MATCH("Unrealized Gains/Losses",'Prior Year Data Pull'!$A$1:$CB$1,0)),"")</f>
        <v>128244602.62</v>
      </c>
      <c r="AV89" s="47">
        <f>IFERROR(INDEX('Prior Year Data Pull'!$A$2:$CB$593,MATCH(C89,'Prior Year Data Pull'!$A$2:$A$593,0),MATCH("Salary and Benefit Expense",'Prior Year Data Pull'!$A$1:$CB$1,0)),"")</f>
        <v>1212731474.98</v>
      </c>
    </row>
    <row r="90" spans="1:48" ht="34.200000000000003" x14ac:dyDescent="0.3">
      <c r="A90" s="14" t="str">
        <f>IFERROR(INDEX('Static Data Tab'!$N$2:$N$610,MATCH(D90,'Static Data Tab'!$D$2:$D$610,0)), "")</f>
        <v>Emerson Health System Inc. and Subsid.</v>
      </c>
      <c r="B90" s="14" t="s">
        <v>130</v>
      </c>
      <c r="C90" s="14">
        <v>12776</v>
      </c>
      <c r="D90" s="14">
        <v>12776</v>
      </c>
      <c r="E90" s="14" t="str">
        <f>IFERROR(INDEX('Prior Year Data Pull'!$A$1:$CB$593,MATCH(C90,'Prior Year Data Pull'!$A$1:$A$593,0),MATCH("Organization Type",'Prior Year Data Pull'!$A$1:$CB$1,0)),"")</f>
        <v>HHS</v>
      </c>
      <c r="F90" s="14" t="str">
        <f>IFERROR(INDEX('Static Data Tab'!$E$2:$E$610,MATCH(C90,'Static Data Tab'!$B$2:$B$610,0)), "-")</f>
        <v>-</v>
      </c>
      <c r="G90" s="14" t="str">
        <f>IFERROR(INDEX('Static Data Tab'!$J$2:$J$610,MATCH(C90,'Static Data Tab'!$B$2:$B$610,0)), "")</f>
        <v/>
      </c>
      <c r="H90" s="14" t="str">
        <f>IFERROR(INDEX('Static Data Tab'!$F$2:$F$610,MATCH(C90,'Static Data Tab'!$B$2:$B$610,0)), "")</f>
        <v/>
      </c>
      <c r="I90" s="14" t="str">
        <f>IFERROR(INDEX('Static Data Tab'!$G$2:$G$610,MATCH(C90,'Static Data Tab'!$B$2:$B$610,0)), "")</f>
        <v/>
      </c>
      <c r="J90" s="14" t="str">
        <f>IFERROR(INDEX('Prior Year Data Pull'!$A$2:$CB$593,MATCH(C90,'Prior Year Data Pull'!$A$2:$A$593,0),MATCH("Quarter Range",'Prior Year Data Pull'!$A$1:$CB$1,0)),"")</f>
        <v xml:space="preserve">10/01/2024-09/30/2025
</v>
      </c>
      <c r="K90" s="37">
        <f t="shared" si="13"/>
        <v>1.0727224300106315E-2</v>
      </c>
      <c r="L90" s="37">
        <f t="shared" si="14"/>
        <v>-4.9351473860247217E-4</v>
      </c>
      <c r="M90" s="37">
        <f t="shared" si="15"/>
        <v>1.0233709561503842E-2</v>
      </c>
      <c r="N90" s="38">
        <f t="shared" si="16"/>
        <v>4157043</v>
      </c>
      <c r="O90" s="39">
        <f t="shared" si="17"/>
        <v>1.2754964447815214</v>
      </c>
      <c r="P90" s="38">
        <f>IFERROR(INDEX('Prior Year Data Pull'!$A$2:$CB$593,MATCH('Prior Year Data Table'!$C90,'Prior Year Data Pull'!$A$2:$A$593,0),MATCH("Total Net Assets or Equity",'Prior Year Data Pull'!$A$1:$CB$1,0)),"")</f>
        <v>129214928</v>
      </c>
      <c r="Q90" s="38">
        <f>IFERROR(INDEX('Prior Year Data Pull'!$A$2:$CB$593,MATCH('Prior Year Data Table'!$C90,'Prior Year Data Pull'!$A$2:$A$593,0),MATCH("Total Operating Revenue",'Prior Year Data Pull'!$A$1:$CB$1,0)),"")</f>
        <v>406411237</v>
      </c>
      <c r="R90" s="38">
        <f>IFERROR(INDEX('Prior Year Data Pull'!$A$2:$CB$593,MATCH('Prior Year Data Table'!$C90,'Prior Year Data Pull'!$A$2:$A$593,0),MATCH("Total Unrestricted Revenue Gains and Other Support",'Prior Year Data Pull'!$A$1:$CB$1,0)),"")</f>
        <v>406210766</v>
      </c>
      <c r="S90" s="38">
        <f>IFERROR(INDEX('Prior Year TS Data Pull'!$K$2:$K$607,MATCH(C90,'Prior Year TS Data Pull'!$A$2:$A$607,0))+INDEX('Prior Year TS Data Pull'!$O$2:$O$119,MATCH(C90,'Prior Year TS Data Pull'!$A$2:$A$607,0))+INDEX('Prior Year TS Data Pull'!$S$2:$S$119,MATCH(C90,'Prior Year TS Data Pull'!$A$2:$A$607,0)),"")</f>
        <v>0</v>
      </c>
      <c r="T90" s="38">
        <f>IF(INDEX('Prior Year TS Data Pull'!$A$1:$O$607,MATCH(C90,'Prior Year TS Data Pull'!$A$1:$A$607,0),MATCH("Temporary RN Staffing:
Line Reported on in Standardized Financials",'Prior Year TS Data Pull'!$A$1:$O$1,0))="66.1: Salary and Benefit Expense",'Prior Year Data Table'!$AV90-'Prior Year Data Table'!$S90,0)</f>
        <v>0</v>
      </c>
      <c r="U90" s="38">
        <f>IFERROR(INDEX('Prior Year Data Pull'!$A$2:$CB$593,MATCH(C90,'Prior Year Data Pull'!$A$2:$A$593,0),MATCH("Total Expenses Including Nonrecurring Gains Losses",'Prior Year Data Pull'!$A$1:$CB$1,0)),"")</f>
        <v>402053723</v>
      </c>
      <c r="V90" s="41">
        <f t="shared" si="18"/>
        <v>21.151361979707453</v>
      </c>
      <c r="W90" s="41">
        <f t="shared" si="19"/>
        <v>39.44576585594659</v>
      </c>
      <c r="X90" s="41">
        <f t="shared" si="20"/>
        <v>72.112502582583318</v>
      </c>
      <c r="Y90" s="37">
        <f t="shared" si="21"/>
        <v>0.17122191238723719</v>
      </c>
      <c r="Z90" s="41">
        <f t="shared" si="22"/>
        <v>34.445248480814357</v>
      </c>
      <c r="AA90" s="39">
        <f t="shared" si="23"/>
        <v>0.19876653241907569</v>
      </c>
      <c r="AB90" s="37">
        <f t="shared" si="24"/>
        <v>0.41411690262433731</v>
      </c>
      <c r="AC90" s="37">
        <f t="shared" si="25"/>
        <v>0.46355475179486355</v>
      </c>
      <c r="AD90" s="38">
        <f>IFERROR(INDEX('Prior Year Data Pull'!$A$2:$CB$593,MATCH(C90,'Prior Year Data Pull'!$A$2:$A$593,0),MATCH("Net Patient Service Revenue",'Prior Year Data Pull'!$A$1:$CB$1,0)),"")</f>
        <v>382610648</v>
      </c>
      <c r="AE90" s="38">
        <f>IFERROR(INDEX('Prior Year Data Pull'!$A$2:$CB$593,MATCH(C90,'Prior Year Data Pull'!$A$2:$A$593,0),MATCH("Total Current Assets",'Prior Year Data Pull'!$A$1:$CB$1,0)),"")</f>
        <v>98444336</v>
      </c>
      <c r="AF90" s="38">
        <f>IFERROR(INDEX('Prior Year Data Pull'!$A$2:$CB$593,MATCH(C90,'Prior Year Data Pull'!$A$2:$A$593,0),MATCH("Total Current Liabilities",'Prior Year Data Pull'!$A$1:$CB$1,0)),"")</f>
        <v>77181192</v>
      </c>
      <c r="AG90" s="38">
        <f>IFERROR(INDEX('Prior Year Data Pull'!$A$2:$CB$593,MATCH(C90,'Prior Year Data Pull'!$A$2:$A$593,0),MATCH("Total Non Operating Revenue",'Prior Year Data Pull'!$A$1:$CB$1,0)),"")</f>
        <v>-200471</v>
      </c>
      <c r="AH90" s="38">
        <f>IFERROR(INDEX('Prior Year Data Pull'!$A$2:$CB$593,MATCH(C90,'Prior Year Data Pull'!$A$2:$A$593,0),MATCH("Less Accumulated Depreciation",'Prior Year Data Pull'!$A$1:$CB$1,0)),"")</f>
        <v>241091071</v>
      </c>
      <c r="AI90" s="38">
        <f>IFERROR(INDEX('Prior Year Data Pull'!$A$2:$CB$593,MATCH(C90,'Prior Year Data Pull'!$A$2:$A$593,0),MATCH("Depreciation and Amortization Expense",'Prior Year Data Pull'!$A$1:$CB$1,0)),"")</f>
        <v>11398371</v>
      </c>
      <c r="AJ90" s="38">
        <f>IFERROR(INDEX('Prior Year Data Pull'!$A$2:$CB$593,MATCH(C90,'Prior Year Data Pull'!$A$2:$A$593,0),MATCH("Net Patient Accounts Receivable",'Prior Year Data Pull'!$A$1:$CB$1,0)),"")</f>
        <v>41348959</v>
      </c>
      <c r="AK90" s="14">
        <v>365</v>
      </c>
      <c r="AL90" s="38">
        <f>IFERROR(INDEX('Prior Year Data Pull'!$A$2:$CB$593,MATCH(C90,'Prior Year Data Pull'!$A$2:$A$593,0),MATCH("Estimated Third Party Settlements",'Prior Year Data Pull'!$A$1:$CB$1,0)),"")</f>
        <v>0</v>
      </c>
      <c r="AM90" s="38">
        <f>IFERROR(INDEX('Prior Year Data Pull'!$A$2:$CB$593,MATCH(C90,'Prior Year Data Pull'!$A$2:$A$593,0),MATCH("Current Liabilities due to Affiliates",'Prior Year Data Pull'!$A$1:$CB$1,0)),"")</f>
        <v>0</v>
      </c>
      <c r="AN90" s="38">
        <f>IFERROR(INDEX('Prior Year Data Pull'!$A$2:$CB$593,MATCH(C90,'Prior Year Data Pull'!$A$2:$A$593,0),MATCH("Short Term Investments",'Prior Year Data Pull'!$A$1:$CB$1,0)),"")</f>
        <v>0</v>
      </c>
      <c r="AO90" s="38">
        <f>IFERROR(INDEX('Prior Year Data Pull'!$A$2:$CB$593,MATCH(C90,'Prior Year Data Pull'!$A$2:$A$593,0),MATCH("Cash and Cash Equivalents",'Prior Year Data Pull'!$A$1:$CB$1,0)),"")</f>
        <v>36866358</v>
      </c>
      <c r="AP90" s="38">
        <f>IFERROR(INDEX('Prior Year Data Pull'!$A$2:$CB$593,MATCH(C90,'Prior Year Data Pull'!$A$2:$A$593,0),MATCH("Interest Expense",'Prior Year Data Pull'!$A$1:$CB$1,0)),"")</f>
        <v>3123201</v>
      </c>
      <c r="AQ90" s="38">
        <f>IFERROR(INDEX('Prior Year Data Pull'!$A$2:$CB$593,MATCH(C90,'Prior Year Data Pull'!$A$2:$A$593,0),MATCH("Long Term Debt Net of Current Portion",'Prior Year Data Pull'!$A$1:$CB$1,0)),"")</f>
        <v>90849435</v>
      </c>
      <c r="AR90" s="38">
        <f>IFERROR(INDEX('Prior Year Data Pull'!$A$2:$CB$593,MATCH(C90,'Prior Year Data Pull'!$A$2:$A$593,0),MATCH("Total Assets",'Prior Year Data Pull'!$A$1:$CB$1,0)),"")</f>
        <v>312025245</v>
      </c>
      <c r="AS90" s="38">
        <f>IFERROR(INDEX('Prior Year Data Pull'!$A$2:$CB$593,MATCH(C90,'Prior Year Data Pull'!$A$2:$A$593,0),MATCH("Long Term Debt Net of Current Portion",'Prior Year Data Pull'!$A$1:$CB$1,0)),"")</f>
        <v>90849435</v>
      </c>
      <c r="AT90" s="38">
        <f>IFERROR(INDEX('Prior Year Data Pull'!$A$2:$CB$593,MATCH(C90,'Prior Year Data Pull'!$A$2:$A$593,0),MATCH("Net Unrestricted Assets",'Prior Year Data Pull'!$A$1:$CB$1,0)),"")</f>
        <v>105134825</v>
      </c>
      <c r="AU90" s="38">
        <f>IFERROR(INDEX('Prior Year Data Pull'!$A$2:$CB$593,MATCH(C90,'Prior Year Data Pull'!$A$2:$A$593,0),MATCH("Unrealized Gains/Losses",'Prior Year Data Pull'!$A$1:$CB$1,0)),"")</f>
        <v>0</v>
      </c>
      <c r="AV90" s="38">
        <f>IFERROR(INDEX('Prior Year Data Pull'!$A$2:$CB$593,MATCH(C90,'Prior Year Data Pull'!$A$2:$A$593,0),MATCH("Salary and Benefit Expense",'Prior Year Data Pull'!$A$1:$CB$1,0)),"")</f>
        <v>220899712</v>
      </c>
    </row>
    <row r="91" spans="1:48" ht="34.200000000000003" x14ac:dyDescent="0.3">
      <c r="A91" s="46" t="str">
        <f>IFERROR(INDEX('Static Data Tab'!$N$2:$N$610,MATCH(D91,'Static Data Tab'!$D$2:$D$610,0)), "")</f>
        <v>Heywood Healthcare</v>
      </c>
      <c r="B91" s="46" t="s">
        <v>133</v>
      </c>
      <c r="C91" s="46">
        <v>12807</v>
      </c>
      <c r="D91" s="46">
        <v>12807</v>
      </c>
      <c r="E91" s="46" t="str">
        <f>IFERROR(INDEX('Prior Year Data Pull'!$A$1:$CB$593,MATCH(C91,'Prior Year Data Pull'!$A$1:$A$593,0),MATCH("Organization Type",'Prior Year Data Pull'!$A$1:$CB$1,0)),"")</f>
        <v>HHS</v>
      </c>
      <c r="F91" s="46" t="str">
        <f>IFERROR(INDEX('Static Data Tab'!$E$2:$E$610,MATCH(C91,'Static Data Tab'!$B$2:$B$610,0)), "-")</f>
        <v>-</v>
      </c>
      <c r="G91" s="46" t="str">
        <f>IFERROR(INDEX('Static Data Tab'!$J$2:$J$610,MATCH(C91,'Static Data Tab'!$B$2:$B$610,0)), "")</f>
        <v/>
      </c>
      <c r="H91" s="46" t="str">
        <f>IFERROR(INDEX('Static Data Tab'!$F$2:$F$610,MATCH(C91,'Static Data Tab'!$B$2:$B$610,0)), "")</f>
        <v/>
      </c>
      <c r="I91" s="46" t="str">
        <f>IFERROR(INDEX('Static Data Tab'!$G$2:$G$610,MATCH(C91,'Static Data Tab'!$B$2:$B$610,0)), "")</f>
        <v/>
      </c>
      <c r="J91" s="46" t="str">
        <f>IFERROR(INDEX('Prior Year Data Pull'!$A$2:$CB$593,MATCH(C91,'Prior Year Data Pull'!$A$2:$A$593,0),MATCH("Quarter Range",'Prior Year Data Pull'!$A$1:$CB$1,0)),"")</f>
        <v xml:space="preserve">10/01/2024-09/30/2025
</v>
      </c>
      <c r="K91" s="45">
        <f t="shared" si="13"/>
        <v>3.1098503926221106E-2</v>
      </c>
      <c r="L91" s="45">
        <f t="shared" si="14"/>
        <v>5.7041850432970717E-4</v>
      </c>
      <c r="M91" s="45">
        <f t="shared" si="15"/>
        <v>3.1668922430550812E-2</v>
      </c>
      <c r="N91" s="47">
        <f t="shared" si="16"/>
        <v>8486152</v>
      </c>
      <c r="O91" s="265">
        <f t="shared" si="17"/>
        <v>1.0222925066210298</v>
      </c>
      <c r="P91" s="47">
        <f>IFERROR(INDEX('Prior Year Data Pull'!$A$2:$CB$593,MATCH('Prior Year Data Table'!$C91,'Prior Year Data Pull'!$A$2:$A$593,0),MATCH("Total Net Assets or Equity",'Prior Year Data Pull'!$A$1:$CB$1,0)),"")</f>
        <v>38651626</v>
      </c>
      <c r="Q91" s="47">
        <f>IFERROR(INDEX('Prior Year Data Pull'!$A$2:$CB$593,MATCH('Prior Year Data Table'!$C91,'Prior Year Data Pull'!$A$2:$A$593,0),MATCH("Total Operating Revenue",'Prior Year Data Pull'!$A$1:$CB$1,0)),"")</f>
        <v>267811807</v>
      </c>
      <c r="R91" s="47">
        <f>IFERROR(INDEX('Prior Year Data Pull'!$A$2:$CB$593,MATCH('Prior Year Data Table'!$C91,'Prior Year Data Pull'!$A$2:$A$593,0),MATCH("Total Unrestricted Revenue Gains and Other Support",'Prior Year Data Pull'!$A$1:$CB$1,0)),"")</f>
        <v>267964659</v>
      </c>
      <c r="S91" s="47">
        <f>IFERROR(INDEX('Prior Year TS Data Pull'!$K$2:$K$607,MATCH(C91,'Prior Year TS Data Pull'!$A$2:$A$607,0))+INDEX('Prior Year TS Data Pull'!$O$2:$O$119,MATCH(C91,'Prior Year TS Data Pull'!$A$2:$A$607,0))+INDEX('Prior Year TS Data Pull'!$S$2:$S$119,MATCH(C91,'Prior Year TS Data Pull'!$A$2:$A$607,0)),"")</f>
        <v>2157751.1799999997</v>
      </c>
      <c r="T91" s="47">
        <f>IF(INDEX('Prior Year TS Data Pull'!$A$1:$O$607,MATCH(C91,'Prior Year TS Data Pull'!$A$1:$A$607,0),MATCH("Temporary RN Staffing:
Line Reported on in Standardized Financials",'Prior Year TS Data Pull'!$A$1:$O$1,0))="66.1: Salary and Benefit Expense",'Prior Year Data Table'!$AV91-'Prior Year Data Table'!$S91,0)</f>
        <v>0</v>
      </c>
      <c r="U91" s="47">
        <f>IFERROR(INDEX('Prior Year Data Pull'!$A$2:$CB$593,MATCH(C91,'Prior Year Data Pull'!$A$2:$A$593,0),MATCH("Total Expenses Including Nonrecurring Gains Losses",'Prior Year Data Pull'!$A$1:$CB$1,0)),"")</f>
        <v>259478507</v>
      </c>
      <c r="V91" s="266">
        <f t="shared" si="18"/>
        <v>17.640989109595274</v>
      </c>
      <c r="W91" s="266">
        <f t="shared" si="19"/>
        <v>45.940108735323768</v>
      </c>
      <c r="X91" s="266">
        <f t="shared" si="20"/>
        <v>59.947906073289012</v>
      </c>
      <c r="Y91" s="45">
        <f t="shared" si="21"/>
        <v>0.24062973667219062</v>
      </c>
      <c r="Z91" s="266">
        <f t="shared" si="22"/>
        <v>18.87104259624709</v>
      </c>
      <c r="AA91" s="265">
        <f t="shared" si="23"/>
        <v>0.25295847300195073</v>
      </c>
      <c r="AB91" s="45">
        <f t="shared" si="24"/>
        <v>0.25363590476051545</v>
      </c>
      <c r="AC91" s="45">
        <f t="shared" si="25"/>
        <v>0.66814820480785986</v>
      </c>
      <c r="AD91" s="47">
        <f>IFERROR(INDEX('Prior Year Data Pull'!$A$2:$CB$593,MATCH(C91,'Prior Year Data Pull'!$A$2:$A$593,0),MATCH("Net Patient Service Revenue",'Prior Year Data Pull'!$A$1:$CB$1,0)),"")</f>
        <v>218916900</v>
      </c>
      <c r="AE91" s="47">
        <f>IFERROR(INDEX('Prior Year Data Pull'!$A$2:$CB$593,MATCH(C91,'Prior Year Data Pull'!$A$2:$A$593,0),MATCH("Total Current Assets",'Prior Year Data Pull'!$A$1:$CB$1,0)),"")</f>
        <v>48226328</v>
      </c>
      <c r="AF91" s="47">
        <f>IFERROR(INDEX('Prior Year Data Pull'!$A$2:$CB$593,MATCH(C91,'Prior Year Data Pull'!$A$2:$A$593,0),MATCH("Total Current Liabilities",'Prior Year Data Pull'!$A$1:$CB$1,0)),"")</f>
        <v>47174686</v>
      </c>
      <c r="AG91" s="47">
        <f>IFERROR(INDEX('Prior Year Data Pull'!$A$2:$CB$593,MATCH(C91,'Prior Year Data Pull'!$A$2:$A$593,0),MATCH("Total Non Operating Revenue",'Prior Year Data Pull'!$A$1:$CB$1,0)),"")</f>
        <v>152852</v>
      </c>
      <c r="AH91" s="47">
        <f>IFERROR(INDEX('Prior Year Data Pull'!$A$2:$CB$593,MATCH(C91,'Prior Year Data Pull'!$A$2:$A$593,0),MATCH("Less Accumulated Depreciation",'Prior Year Data Pull'!$A$1:$CB$1,0)),"")</f>
        <v>117270151</v>
      </c>
      <c r="AI91" s="47">
        <f>IFERROR(INDEX('Prior Year Data Pull'!$A$2:$CB$593,MATCH(C91,'Prior Year Data Pull'!$A$2:$A$593,0),MATCH("Depreciation and Amortization Expense",'Prior Year Data Pull'!$A$1:$CB$1,0)),"")</f>
        <v>6647595</v>
      </c>
      <c r="AJ91" s="47">
        <f>IFERROR(INDEX('Prior Year Data Pull'!$A$2:$CB$593,MATCH(C91,'Prior Year Data Pull'!$A$2:$A$593,0),MATCH("Net Patient Accounts Receivable",'Prior Year Data Pull'!$A$1:$CB$1,0)),"")</f>
        <v>27553606</v>
      </c>
      <c r="AK91" s="46">
        <v>365</v>
      </c>
      <c r="AL91" s="47">
        <f>IFERROR(INDEX('Prior Year Data Pull'!$A$2:$CB$593,MATCH(C91,'Prior Year Data Pull'!$A$2:$A$593,0),MATCH("Estimated Third Party Settlements",'Prior Year Data Pull'!$A$1:$CB$1,0)),"")</f>
        <v>5649525</v>
      </c>
      <c r="AM91" s="47">
        <f>IFERROR(INDEX('Prior Year Data Pull'!$A$2:$CB$593,MATCH(C91,'Prior Year Data Pull'!$A$2:$A$593,0),MATCH("Current Liabilities due to Affiliates",'Prior Year Data Pull'!$A$1:$CB$1,0)),"")</f>
        <v>0</v>
      </c>
      <c r="AN91" s="47">
        <f>IFERROR(INDEX('Prior Year Data Pull'!$A$2:$CB$593,MATCH(C91,'Prior Year Data Pull'!$A$2:$A$593,0),MATCH("Short Term Investments",'Prior Year Data Pull'!$A$1:$CB$1,0)),"")</f>
        <v>0</v>
      </c>
      <c r="AO91" s="47">
        <f>IFERROR(INDEX('Prior Year Data Pull'!$A$2:$CB$593,MATCH(C91,'Prior Year Data Pull'!$A$2:$A$593,0),MATCH("Cash and Cash Equivalents",'Prior Year Data Pull'!$A$1:$CB$1,0)),"")</f>
        <v>13071734</v>
      </c>
      <c r="AP91" s="47">
        <f>IFERROR(INDEX('Prior Year Data Pull'!$A$2:$CB$593,MATCH(C91,'Prior Year Data Pull'!$A$2:$A$593,0),MATCH("Interest Expense",'Prior Year Data Pull'!$A$1:$CB$1,0)),"")</f>
        <v>1037937</v>
      </c>
      <c r="AQ91" s="47">
        <f>IFERROR(INDEX('Prior Year Data Pull'!$A$2:$CB$593,MATCH(C91,'Prior Year Data Pull'!$A$2:$A$593,0),MATCH("Long Term Debt Net of Current Portion",'Prior Year Data Pull'!$A$1:$CB$1,0)),"")</f>
        <v>62892256</v>
      </c>
      <c r="AR91" s="47">
        <f>IFERROR(INDEX('Prior Year Data Pull'!$A$2:$CB$593,MATCH(C91,'Prior Year Data Pull'!$A$2:$A$593,0),MATCH("Total Assets",'Prior Year Data Pull'!$A$1:$CB$1,0)),"")</f>
        <v>152390199</v>
      </c>
      <c r="AS91" s="47">
        <f>IFERROR(INDEX('Prior Year Data Pull'!$A$2:$CB$593,MATCH(C91,'Prior Year Data Pull'!$A$2:$A$593,0),MATCH("Long Term Debt Net of Current Portion",'Prior Year Data Pull'!$A$1:$CB$1,0)),"")</f>
        <v>62892256</v>
      </c>
      <c r="AT91" s="47">
        <f>IFERROR(INDEX('Prior Year Data Pull'!$A$2:$CB$593,MATCH(C91,'Prior Year Data Pull'!$A$2:$A$593,0),MATCH("Net Unrestricted Assets",'Prior Year Data Pull'!$A$1:$CB$1,0)),"")</f>
        <v>31236944</v>
      </c>
      <c r="AU91" s="47">
        <f>IFERROR(INDEX('Prior Year Data Pull'!$A$2:$CB$593,MATCH(C91,'Prior Year Data Pull'!$A$2:$A$593,0),MATCH("Unrealized Gains/Losses",'Prior Year Data Pull'!$A$1:$CB$1,0)),"")</f>
        <v>0</v>
      </c>
      <c r="AV91" s="47">
        <f>IFERROR(INDEX('Prior Year Data Pull'!$A$2:$CB$593,MATCH(C91,'Prior Year Data Pull'!$A$2:$A$593,0),MATCH("Salary and Benefit Expense",'Prior Year Data Pull'!$A$1:$CB$1,0)),"")</f>
        <v>122144952</v>
      </c>
    </row>
    <row r="92" spans="1:48" ht="34.200000000000003" x14ac:dyDescent="0.3">
      <c r="A92" s="14" t="str">
        <f>IFERROR(INDEX('Static Data Tab'!$N$2:$N$610,MATCH(D92,'Static Data Tab'!$D$2:$D$610,0)), "")</f>
        <v>Lawrence General Hospital and Affiliates</v>
      </c>
      <c r="B92" s="14" t="s">
        <v>138</v>
      </c>
      <c r="C92" s="14">
        <v>13156</v>
      </c>
      <c r="D92" s="14">
        <v>13156</v>
      </c>
      <c r="E92" s="14" t="str">
        <f>IFERROR(INDEX('Prior Year Data Pull'!$A$1:$CB$593,MATCH(C92,'Prior Year Data Pull'!$A$1:$A$593,0),MATCH("Organization Type",'Prior Year Data Pull'!$A$1:$CB$1,0)),"")</f>
        <v>HHS</v>
      </c>
      <c r="F92" s="14" t="str">
        <f>IFERROR(INDEX('Static Data Tab'!$E$2:$E$610,MATCH(C92,'Static Data Tab'!$B$2:$B$610,0)), "-")</f>
        <v>-</v>
      </c>
      <c r="G92" s="14" t="str">
        <f>IFERROR(INDEX('Static Data Tab'!$J$2:$J$610,MATCH(C92,'Static Data Tab'!$B$2:$B$610,0)), "")</f>
        <v/>
      </c>
      <c r="H92" s="14" t="str">
        <f>IFERROR(INDEX('Static Data Tab'!$F$2:$F$610,MATCH(C92,'Static Data Tab'!$B$2:$B$610,0)), "")</f>
        <v/>
      </c>
      <c r="I92" s="14" t="str">
        <f>IFERROR(INDEX('Static Data Tab'!$G$2:$G$610,MATCH(C92,'Static Data Tab'!$B$2:$B$610,0)), "")</f>
        <v/>
      </c>
      <c r="J92" s="14" t="str">
        <f>IFERROR(INDEX('Prior Year Data Pull'!$A$2:$CB$593,MATCH(C92,'Prior Year Data Pull'!$A$2:$A$593,0),MATCH("Quarter Range",'Prior Year Data Pull'!$A$1:$CB$1,0)),"")</f>
        <v xml:space="preserve">10/01/2024-09/30/2025
</v>
      </c>
      <c r="K92" s="37">
        <f t="shared" si="13"/>
        <v>4.315962233133612E-2</v>
      </c>
      <c r="L92" s="37">
        <f t="shared" si="14"/>
        <v>7.1914678462503517E-2</v>
      </c>
      <c r="M92" s="37">
        <f t="shared" si="15"/>
        <v>0.11507430079383964</v>
      </c>
      <c r="N92" s="38">
        <f t="shared" si="16"/>
        <v>85120000</v>
      </c>
      <c r="O92" s="39">
        <f t="shared" si="17"/>
        <v>1.0864737060319809</v>
      </c>
      <c r="P92" s="38">
        <f>IFERROR(INDEX('Prior Year Data Pull'!$A$2:$CB$593,MATCH('Prior Year Data Table'!$C92,'Prior Year Data Pull'!$A$2:$A$593,0),MATCH("Total Net Assets or Equity",'Prior Year Data Pull'!$A$1:$CB$1,0)),"")</f>
        <v>112415000</v>
      </c>
      <c r="Q92" s="38">
        <f>IFERROR(INDEX('Prior Year Data Pull'!$A$2:$CB$593,MATCH('Prior Year Data Table'!$C92,'Prior Year Data Pull'!$A$2:$A$593,0),MATCH("Total Operating Revenue",'Prior Year Data Pull'!$A$1:$CB$1,0)),"")</f>
        <v>686501000</v>
      </c>
      <c r="R92" s="38">
        <f>IFERROR(INDEX('Prior Year Data Pull'!$A$2:$CB$593,MATCH('Prior Year Data Table'!$C92,'Prior Year Data Pull'!$A$2:$A$593,0),MATCH("Total Unrestricted Revenue Gains and Other Support",'Prior Year Data Pull'!$A$1:$CB$1,0)),"")</f>
        <v>739696000</v>
      </c>
      <c r="S92" s="38">
        <f>IFERROR(INDEX('Prior Year TS Data Pull'!$K$2:$K$607,MATCH(C92,'Prior Year TS Data Pull'!$A$2:$A$607,0))+INDEX('Prior Year TS Data Pull'!$O$2:$O$119,MATCH(C92,'Prior Year TS Data Pull'!$A$2:$A$607,0))+INDEX('Prior Year TS Data Pull'!$S$2:$S$119,MATCH(C92,'Prior Year TS Data Pull'!$A$2:$A$607,0)),"")</f>
        <v>4109185.62</v>
      </c>
      <c r="T92" s="38">
        <f>IF(INDEX('Prior Year TS Data Pull'!$A$1:$O$607,MATCH(C92,'Prior Year TS Data Pull'!$A$1:$A$607,0),MATCH("Temporary RN Staffing:
Line Reported on in Standardized Financials",'Prior Year TS Data Pull'!$A$1:$O$1,0))="66.1: Salary and Benefit Expense",'Prior Year Data Table'!$AV92-'Prior Year Data Table'!$S92,0)</f>
        <v>0</v>
      </c>
      <c r="U92" s="38">
        <f>IFERROR(INDEX('Prior Year Data Pull'!$A$2:$CB$593,MATCH(C92,'Prior Year Data Pull'!$A$2:$A$593,0),MATCH("Total Expenses Including Nonrecurring Gains Losses",'Prior Year Data Pull'!$A$1:$CB$1,0)),"")</f>
        <v>654576000</v>
      </c>
      <c r="V92" s="41">
        <f t="shared" si="18"/>
        <v>11.048644578313253</v>
      </c>
      <c r="W92" s="41">
        <f t="shared" si="19"/>
        <v>48.731296969600216</v>
      </c>
      <c r="X92" s="41">
        <f t="shared" si="20"/>
        <v>96.859093745273029</v>
      </c>
      <c r="Y92" s="37">
        <f t="shared" si="21"/>
        <v>1.0957943925233644</v>
      </c>
      <c r="Z92" s="41">
        <f t="shared" si="22"/>
        <v>41.405383388796452</v>
      </c>
      <c r="AA92" s="39">
        <f t="shared" si="23"/>
        <v>1.0909578994286639</v>
      </c>
      <c r="AB92" s="37">
        <f t="shared" si="24"/>
        <v>0.25560772632703871</v>
      </c>
      <c r="AC92" s="37">
        <f t="shared" si="25"/>
        <v>0.46669753685751414</v>
      </c>
      <c r="AD92" s="38">
        <f>IFERROR(INDEX('Prior Year Data Pull'!$A$2:$CB$593,MATCH(C92,'Prior Year Data Pull'!$A$2:$A$593,0),MATCH("Net Patient Service Revenue",'Prior Year Data Pull'!$A$1:$CB$1,0)),"")</f>
        <v>501122000</v>
      </c>
      <c r="AE92" s="38">
        <f>IFERROR(INDEX('Prior Year Data Pull'!$A$2:$CB$593,MATCH(C92,'Prior Year Data Pull'!$A$2:$A$593,0),MATCH("Total Current Assets",'Prior Year Data Pull'!$A$1:$CB$1,0)),"")</f>
        <v>193916000</v>
      </c>
      <c r="AF92" s="38">
        <f>IFERROR(INDEX('Prior Year Data Pull'!$A$2:$CB$593,MATCH(C92,'Prior Year Data Pull'!$A$2:$A$593,0),MATCH("Total Current Liabilities",'Prior Year Data Pull'!$A$1:$CB$1,0)),"")</f>
        <v>178482000</v>
      </c>
      <c r="AG92" s="38">
        <f>IFERROR(INDEX('Prior Year Data Pull'!$A$2:$CB$593,MATCH(C92,'Prior Year Data Pull'!$A$2:$A$593,0),MATCH("Total Non Operating Revenue",'Prior Year Data Pull'!$A$1:$CB$1,0)),"")</f>
        <v>53195000</v>
      </c>
      <c r="AH92" s="38">
        <f>IFERROR(INDEX('Prior Year Data Pull'!$A$2:$CB$593,MATCH(C92,'Prior Year Data Pull'!$A$2:$A$593,0),MATCH("Less Accumulated Depreciation",'Prior Year Data Pull'!$A$1:$CB$1,0)),"")</f>
        <v>220089000</v>
      </c>
      <c r="AI92" s="38">
        <f>IFERROR(INDEX('Prior Year Data Pull'!$A$2:$CB$593,MATCH(C92,'Prior Year Data Pull'!$A$2:$A$593,0),MATCH("Depreciation and Amortization Expense",'Prior Year Data Pull'!$A$1:$CB$1,0)),"")</f>
        <v>19920000</v>
      </c>
      <c r="AJ92" s="38">
        <f>IFERROR(INDEX('Prior Year Data Pull'!$A$2:$CB$593,MATCH(C92,'Prior Year Data Pull'!$A$2:$A$593,0),MATCH("Net Patient Accounts Receivable",'Prior Year Data Pull'!$A$1:$CB$1,0)),"")</f>
        <v>66905000</v>
      </c>
      <c r="AK92" s="14">
        <v>365</v>
      </c>
      <c r="AL92" s="38">
        <f>IFERROR(INDEX('Prior Year Data Pull'!$A$2:$CB$593,MATCH(C92,'Prior Year Data Pull'!$A$2:$A$593,0),MATCH("Estimated Third Party Settlements",'Prior Year Data Pull'!$A$1:$CB$1,0)),"")</f>
        <v>10065000</v>
      </c>
      <c r="AM92" s="38">
        <f>IFERROR(INDEX('Prior Year Data Pull'!$A$2:$CB$593,MATCH(C92,'Prior Year Data Pull'!$A$2:$A$593,0),MATCH("Current Liabilities due to Affiliates",'Prior Year Data Pull'!$A$1:$CB$1,0)),"")</f>
        <v>0</v>
      </c>
      <c r="AN92" s="38">
        <f>IFERROR(INDEX('Prior Year Data Pull'!$A$2:$CB$593,MATCH(C92,'Prior Year Data Pull'!$A$2:$A$593,0),MATCH("Short Term Investments",'Prior Year Data Pull'!$A$1:$CB$1,0)),"")</f>
        <v>28700000</v>
      </c>
      <c r="AO92" s="38">
        <f>IFERROR(INDEX('Prior Year Data Pull'!$A$2:$CB$593,MATCH(C92,'Prior Year Data Pull'!$A$2:$A$593,0),MATCH("Cash and Cash Equivalents",'Prior Year Data Pull'!$A$1:$CB$1,0)),"")</f>
        <v>43295000</v>
      </c>
      <c r="AP92" s="38">
        <f>IFERROR(INDEX('Prior Year Data Pull'!$A$2:$CB$593,MATCH(C92,'Prior Year Data Pull'!$A$2:$A$593,0),MATCH("Interest Expense",'Prior Year Data Pull'!$A$1:$CB$1,0)),"")</f>
        <v>4984000</v>
      </c>
      <c r="AQ92" s="38">
        <f>IFERROR(INDEX('Prior Year Data Pull'!$A$2:$CB$593,MATCH(C92,'Prior Year Data Pull'!$A$2:$A$593,0),MATCH("Long Term Debt Net of Current Portion",'Prior Year Data Pull'!$A$1:$CB$1,0)),"")</f>
        <v>93732000</v>
      </c>
      <c r="AR92" s="38">
        <f>IFERROR(INDEX('Prior Year Data Pull'!$A$2:$CB$593,MATCH(C92,'Prior Year Data Pull'!$A$2:$A$593,0),MATCH("Total Assets",'Prior Year Data Pull'!$A$1:$CB$1,0)),"")</f>
        <v>439795000</v>
      </c>
      <c r="AS92" s="38">
        <f>IFERROR(INDEX('Prior Year Data Pull'!$A$2:$CB$593,MATCH(C92,'Prior Year Data Pull'!$A$2:$A$593,0),MATCH("Long Term Debt Net of Current Portion",'Prior Year Data Pull'!$A$1:$CB$1,0)),"")</f>
        <v>93732000</v>
      </c>
      <c r="AT92" s="38">
        <f>IFERROR(INDEX('Prior Year Data Pull'!$A$2:$CB$593,MATCH(C92,'Prior Year Data Pull'!$A$2:$A$593,0),MATCH("Net Unrestricted Assets",'Prior Year Data Pull'!$A$1:$CB$1,0)),"")</f>
        <v>107109000</v>
      </c>
      <c r="AU92" s="38">
        <f>IFERROR(INDEX('Prior Year Data Pull'!$A$2:$CB$593,MATCH(C92,'Prior Year Data Pull'!$A$2:$A$593,0),MATCH("Unrealized Gains/Losses",'Prior Year Data Pull'!$A$1:$CB$1,0)),"")</f>
        <v>2329000</v>
      </c>
      <c r="AV92" s="38">
        <f>IFERROR(INDEX('Prior Year Data Pull'!$A$2:$CB$593,MATCH(C92,'Prior Year Data Pull'!$A$2:$A$593,0),MATCH("Salary and Benefit Expense",'Prior Year Data Pull'!$A$1:$CB$1,0)),"")</f>
        <v>288305000</v>
      </c>
    </row>
    <row r="93" spans="1:48" ht="34.200000000000003" x14ac:dyDescent="0.3">
      <c r="A93" s="46" t="str">
        <f>IFERROR(INDEX('Static Data Tab'!$N$2:$N$610,MATCH(D93,'Static Data Tab'!$D$2:$D$610,0)), "")</f>
        <v>Mass General Brigham</v>
      </c>
      <c r="B93" s="46" t="s">
        <v>141</v>
      </c>
      <c r="C93" s="46">
        <v>3791</v>
      </c>
      <c r="D93" s="46">
        <v>3791</v>
      </c>
      <c r="E93" s="46" t="str">
        <f>IFERROR(INDEX('Prior Year Data Pull'!$A$1:$CB$593,MATCH(C93,'Prior Year Data Pull'!$A$1:$A$593,0),MATCH("Organization Type",'Prior Year Data Pull'!$A$1:$CB$1,0)),"")</f>
        <v>HHS</v>
      </c>
      <c r="F93" s="46" t="str">
        <f>IFERROR(INDEX('Static Data Tab'!$E$2:$E$610,MATCH(C93,'Static Data Tab'!$B$2:$B$610,0)), "-")</f>
        <v>-</v>
      </c>
      <c r="G93" s="46" t="str">
        <f>IFERROR(INDEX('Static Data Tab'!$J$2:$J$610,MATCH(C93,'Static Data Tab'!$B$2:$B$610,0)), "")</f>
        <v/>
      </c>
      <c r="H93" s="46" t="str">
        <f>IFERROR(INDEX('Static Data Tab'!$F$2:$F$610,MATCH(C93,'Static Data Tab'!$B$2:$B$610,0)), "")</f>
        <v/>
      </c>
      <c r="I93" s="46" t="str">
        <f>IFERROR(INDEX('Static Data Tab'!$G$2:$G$610,MATCH(C93,'Static Data Tab'!$B$2:$B$610,0)), "")</f>
        <v/>
      </c>
      <c r="J93" s="46" t="str">
        <f>IFERROR(INDEX('Prior Year Data Pull'!$A$2:$CB$593,MATCH(C93,'Prior Year Data Pull'!$A$2:$A$593,0),MATCH("Quarter Range",'Prior Year Data Pull'!$A$1:$CB$1,0)),"")</f>
        <v xml:space="preserve">10/01/2024-09/30/2025
</v>
      </c>
      <c r="K93" s="45">
        <f t="shared" si="13"/>
        <v>2.3543982938012634E-3</v>
      </c>
      <c r="L93" s="45">
        <f t="shared" si="14"/>
        <v>9.2561639532693155E-2</v>
      </c>
      <c r="M93" s="45">
        <f t="shared" si="15"/>
        <v>9.4916037826494423E-2</v>
      </c>
      <c r="N93" s="47">
        <f t="shared" si="16"/>
        <v>2385642000</v>
      </c>
      <c r="O93" s="265">
        <f t="shared" si="17"/>
        <v>3.0525283185751761</v>
      </c>
      <c r="P93" s="47">
        <f>IFERROR(INDEX('Prior Year Data Pull'!$A$2:$CB$593,MATCH('Prior Year Data Table'!$C93,'Prior Year Data Pull'!$A$2:$A$593,0),MATCH("Total Net Assets or Equity",'Prior Year Data Pull'!$A$1:$CB$1,0)),"")</f>
        <v>23611569000</v>
      </c>
      <c r="Q93" s="47">
        <f>IFERROR(INDEX('Prior Year Data Pull'!$A$2:$CB$593,MATCH('Prior Year Data Table'!$C93,'Prior Year Data Pull'!$A$2:$A$593,0),MATCH("Total Operating Revenue",'Prior Year Data Pull'!$A$1:$CB$1,0)),"")</f>
        <v>22807769000</v>
      </c>
      <c r="R93" s="47">
        <f>IFERROR(INDEX('Prior Year Data Pull'!$A$2:$CB$593,MATCH('Prior Year Data Table'!$C93,'Prior Year Data Pull'!$A$2:$A$593,0),MATCH("Total Unrestricted Revenue Gains and Other Support",'Prior Year Data Pull'!$A$1:$CB$1,0)),"")</f>
        <v>25134235000</v>
      </c>
      <c r="S93" s="47">
        <f>IFERROR(INDEX('Prior Year TS Data Pull'!$K$2:$K$607,MATCH(C93,'Prior Year TS Data Pull'!$A$2:$A$607,0))+INDEX('Prior Year TS Data Pull'!$O$2:$O$119,MATCH(C93,'Prior Year TS Data Pull'!$A$2:$A$607,0))+INDEX('Prior Year TS Data Pull'!$S$2:$S$119,MATCH(C93,'Prior Year TS Data Pull'!$A$2:$A$607,0)),"")</f>
        <v>72044826.848222762</v>
      </c>
      <c r="T93" s="47">
        <f>IF(INDEX('Prior Year TS Data Pull'!$A$1:$O$607,MATCH(C93,'Prior Year TS Data Pull'!$A$1:$A$607,0),MATCH("Temporary RN Staffing:
Line Reported on in Standardized Financials",'Prior Year TS Data Pull'!$A$1:$O$1,0))="66.1: Salary and Benefit Expense",'Prior Year Data Table'!$AV93-'Prior Year Data Table'!$S93,0)</f>
        <v>0</v>
      </c>
      <c r="U93" s="47">
        <f>IFERROR(INDEX('Prior Year Data Pull'!$A$2:$CB$593,MATCH(C93,'Prior Year Data Pull'!$A$2:$A$593,0),MATCH("Total Expenses Including Nonrecurring Gains Losses",'Prior Year Data Pull'!$A$1:$CB$1,0)),"")</f>
        <v>22748593000</v>
      </c>
      <c r="V93" s="266">
        <f t="shared" si="18"/>
        <v>10.757437935110994</v>
      </c>
      <c r="W93" s="266">
        <f t="shared" si="19"/>
        <v>44.724124492819925</v>
      </c>
      <c r="X93" s="266">
        <f t="shared" si="20"/>
        <v>64.615292336452228</v>
      </c>
      <c r="Y93" s="45">
        <f t="shared" si="21"/>
        <v>0.37011721889074212</v>
      </c>
      <c r="Z93" s="266">
        <f t="shared" si="22"/>
        <v>86.27816679093317</v>
      </c>
      <c r="AA93" s="265">
        <f t="shared" si="23"/>
        <v>0.38818886329079411</v>
      </c>
      <c r="AB93" s="45">
        <f t="shared" si="24"/>
        <v>0.65901770351136524</v>
      </c>
      <c r="AC93" s="45">
        <f t="shared" si="25"/>
        <v>0.22792910377441816</v>
      </c>
      <c r="AD93" s="47">
        <f>IFERROR(INDEX('Prior Year Data Pull'!$A$2:$CB$593,MATCH(C93,'Prior Year Data Pull'!$A$2:$A$593,0),MATCH("Net Patient Service Revenue",'Prior Year Data Pull'!$A$1:$CB$1,0)),"")</f>
        <v>14480064000</v>
      </c>
      <c r="AE93" s="47">
        <f>IFERROR(INDEX('Prior Year Data Pull'!$A$2:$CB$593,MATCH(C93,'Prior Year Data Pull'!$A$2:$A$593,0),MATCH("Total Current Assets",'Prior Year Data Pull'!$A$1:$CB$1,0)),"")</f>
        <v>12148208000</v>
      </c>
      <c r="AF93" s="47">
        <f>IFERROR(INDEX('Prior Year Data Pull'!$A$2:$CB$593,MATCH(C93,'Prior Year Data Pull'!$A$2:$A$593,0),MATCH("Total Current Liabilities",'Prior Year Data Pull'!$A$1:$CB$1,0)),"")</f>
        <v>3979720000</v>
      </c>
      <c r="AG93" s="47">
        <f>IFERROR(INDEX('Prior Year Data Pull'!$A$2:$CB$593,MATCH(C93,'Prior Year Data Pull'!$A$2:$A$593,0),MATCH("Total Non Operating Revenue",'Prior Year Data Pull'!$A$1:$CB$1,0)),"")</f>
        <v>2326466000</v>
      </c>
      <c r="AH93" s="47">
        <f>IFERROR(INDEX('Prior Year Data Pull'!$A$2:$CB$593,MATCH(C93,'Prior Year Data Pull'!$A$2:$A$593,0),MATCH("Less Accumulated Depreciation",'Prior Year Data Pull'!$A$1:$CB$1,0)),"")</f>
        <v>8517223000</v>
      </c>
      <c r="AI93" s="47">
        <f>IFERROR(INDEX('Prior Year Data Pull'!$A$2:$CB$593,MATCH(C93,'Prior Year Data Pull'!$A$2:$A$593,0),MATCH("Depreciation and Amortization Expense",'Prior Year Data Pull'!$A$1:$CB$1,0)),"")</f>
        <v>791752000</v>
      </c>
      <c r="AJ93" s="47">
        <f>IFERROR(INDEX('Prior Year Data Pull'!$A$2:$CB$593,MATCH(C93,'Prior Year Data Pull'!$A$2:$A$593,0),MATCH("Net Patient Accounts Receivable",'Prior Year Data Pull'!$A$1:$CB$1,0)),"")</f>
        <v>1774269000</v>
      </c>
      <c r="AK93" s="46">
        <v>365</v>
      </c>
      <c r="AL93" s="47">
        <f>IFERROR(INDEX('Prior Year Data Pull'!$A$2:$CB$593,MATCH(C93,'Prior Year Data Pull'!$A$2:$A$593,0),MATCH("Estimated Third Party Settlements",'Prior Year Data Pull'!$A$1:$CB$1,0)),"")</f>
        <v>92740000</v>
      </c>
      <c r="AM93" s="47">
        <f>IFERROR(INDEX('Prior Year Data Pull'!$A$2:$CB$593,MATCH(C93,'Prior Year Data Pull'!$A$2:$A$593,0),MATCH("Current Liabilities due to Affiliates",'Prior Year Data Pull'!$A$1:$CB$1,0)),"")</f>
        <v>0</v>
      </c>
      <c r="AN93" s="47">
        <f>IFERROR(INDEX('Prior Year Data Pull'!$A$2:$CB$593,MATCH(C93,'Prior Year Data Pull'!$A$2:$A$593,0),MATCH("Short Term Investments",'Prior Year Data Pull'!$A$1:$CB$1,0)),"")</f>
        <v>4660478000</v>
      </c>
      <c r="AO93" s="47">
        <f>IFERROR(INDEX('Prior Year Data Pull'!$A$2:$CB$593,MATCH(C93,'Prior Year Data Pull'!$A$2:$A$593,0),MATCH("Cash and Cash Equivalents",'Prior Year Data Pull'!$A$1:$CB$1,0)),"")</f>
        <v>529648000</v>
      </c>
      <c r="AP93" s="47">
        <f>IFERROR(INDEX('Prior Year Data Pull'!$A$2:$CB$593,MATCH(C93,'Prior Year Data Pull'!$A$2:$A$593,0),MATCH("Interest Expense",'Prior Year Data Pull'!$A$1:$CB$1,0)),"")</f>
        <v>165406000</v>
      </c>
      <c r="AQ93" s="47">
        <f>IFERROR(INDEX('Prior Year Data Pull'!$A$2:$CB$593,MATCH(C93,'Prior Year Data Pull'!$A$2:$A$593,0),MATCH("Long Term Debt Net of Current Portion",'Prior Year Data Pull'!$A$1:$CB$1,0)),"")</f>
        <v>5599780000</v>
      </c>
      <c r="AR93" s="47">
        <f>IFERROR(INDEX('Prior Year Data Pull'!$A$2:$CB$593,MATCH(C93,'Prior Year Data Pull'!$A$2:$A$593,0),MATCH("Total Assets",'Prior Year Data Pull'!$A$1:$CB$1,0)),"")</f>
        <v>35828429000</v>
      </c>
      <c r="AS93" s="47">
        <f>IFERROR(INDEX('Prior Year Data Pull'!$A$2:$CB$593,MATCH(C93,'Prior Year Data Pull'!$A$2:$A$593,0),MATCH("Long Term Debt Net of Current Portion",'Prior Year Data Pull'!$A$1:$CB$1,0)),"")</f>
        <v>5599780000</v>
      </c>
      <c r="AT93" s="47">
        <f>IFERROR(INDEX('Prior Year Data Pull'!$A$2:$CB$593,MATCH(C93,'Prior Year Data Pull'!$A$2:$A$593,0),MATCH("Net Unrestricted Assets",'Prior Year Data Pull'!$A$1:$CB$1,0)),"")</f>
        <v>18968298000</v>
      </c>
      <c r="AU93" s="47">
        <f>IFERROR(INDEX('Prior Year Data Pull'!$A$2:$CB$593,MATCH(C93,'Prior Year Data Pull'!$A$2:$A$593,0),MATCH("Unrealized Gains/Losses",'Prior Year Data Pull'!$A$1:$CB$1,0)),"")</f>
        <v>1104819000</v>
      </c>
      <c r="AV93" s="47">
        <f>IFERROR(INDEX('Prior Year Data Pull'!$A$2:$CB$593,MATCH(C93,'Prior Year Data Pull'!$A$2:$A$593,0),MATCH("Salary and Benefit Expense",'Prior Year Data Pull'!$A$1:$CB$1,0)),"")</f>
        <v>11122914000</v>
      </c>
    </row>
    <row r="94" spans="1:48" ht="34.200000000000003" x14ac:dyDescent="0.3">
      <c r="A94" s="14" t="str">
        <f>IFERROR(INDEX('Static Data Tab'!$N$2:$N$610,MATCH(D94,'Static Data Tab'!$D$2:$D$610,0)), "")</f>
        <v>Signature Healthcare Corporation</v>
      </c>
      <c r="B94" s="14" t="s">
        <v>162</v>
      </c>
      <c r="C94" s="14">
        <v>9991</v>
      </c>
      <c r="D94" s="14">
        <v>9991</v>
      </c>
      <c r="E94" s="14" t="str">
        <f>IFERROR(INDEX('Prior Year Data Pull'!$A$1:$CB$593,MATCH(C94,'Prior Year Data Pull'!$A$1:$A$593,0),MATCH("Organization Type",'Prior Year Data Pull'!$A$1:$CB$1,0)),"")</f>
        <v>HHS</v>
      </c>
      <c r="F94" s="14" t="str">
        <f>IFERROR(INDEX('Static Data Tab'!$E$2:$E$610,MATCH(C94,'Static Data Tab'!$B$2:$B$610,0)), "-")</f>
        <v>-</v>
      </c>
      <c r="G94" s="14" t="str">
        <f>IFERROR(INDEX('Static Data Tab'!$J$2:$J$610,MATCH(C94,'Static Data Tab'!$B$2:$B$610,0)), "")</f>
        <v/>
      </c>
      <c r="H94" s="14" t="str">
        <f>IFERROR(INDEX('Static Data Tab'!$F$2:$F$610,MATCH(C94,'Static Data Tab'!$B$2:$B$610,0)), "")</f>
        <v/>
      </c>
      <c r="I94" s="14" t="str">
        <f>IFERROR(INDEX('Static Data Tab'!$G$2:$G$610,MATCH(C94,'Static Data Tab'!$B$2:$B$610,0)), "")</f>
        <v/>
      </c>
      <c r="J94" s="14" t="str">
        <f>IFERROR(INDEX('Prior Year Data Pull'!$A$2:$CB$593,MATCH(C94,'Prior Year Data Pull'!$A$2:$A$593,0),MATCH("Quarter Range",'Prior Year Data Pull'!$A$1:$CB$1,0)),"")</f>
        <v xml:space="preserve">10/01/2024-09/30/2025
</v>
      </c>
      <c r="K94" s="37">
        <f t="shared" si="13"/>
        <v>-9.8116385274762324E-2</v>
      </c>
      <c r="L94" s="37">
        <f t="shared" si="14"/>
        <v>7.7226673737125343E-2</v>
      </c>
      <c r="M94" s="37">
        <f t="shared" si="15"/>
        <v>-2.0889711537636985E-2</v>
      </c>
      <c r="N94" s="38">
        <f t="shared" si="16"/>
        <v>-12133801</v>
      </c>
      <c r="O94" s="39">
        <f t="shared" si="17"/>
        <v>0.98093014708703585</v>
      </c>
      <c r="P94" s="38">
        <f>IFERROR(INDEX('Prior Year Data Pull'!$A$2:$CB$593,MATCH('Prior Year Data Table'!$C94,'Prior Year Data Pull'!$A$2:$A$593,0),MATCH("Total Net Assets or Equity",'Prior Year Data Pull'!$A$1:$CB$1,0)),"")</f>
        <v>247818110</v>
      </c>
      <c r="Q94" s="38">
        <f>IFERROR(INDEX('Prior Year Data Pull'!$A$2:$CB$593,MATCH('Prior Year Data Table'!$C94,'Prior Year Data Pull'!$A$2:$A$593,0),MATCH("Total Operating Revenue",'Prior Year Data Pull'!$A$1:$CB$1,0)),"")</f>
        <v>535993419</v>
      </c>
      <c r="R94" s="38">
        <f>IFERROR(INDEX('Prior Year Data Pull'!$A$2:$CB$593,MATCH('Prior Year Data Table'!$C94,'Prior Year Data Pull'!$A$2:$A$593,0),MATCH("Total Unrestricted Revenue Gains and Other Support",'Prior Year Data Pull'!$A$1:$CB$1,0)),"")</f>
        <v>580850577</v>
      </c>
      <c r="S94" s="38">
        <f>IFERROR(INDEX('Prior Year TS Data Pull'!$K$2:$K$607,MATCH(C94,'Prior Year TS Data Pull'!$A$2:$A$607,0))+INDEX('Prior Year TS Data Pull'!$O$2:$O$119,MATCH(C94,'Prior Year TS Data Pull'!$A$2:$A$607,0))+INDEX('Prior Year TS Data Pull'!$S$2:$S$119,MATCH(C94,'Prior Year TS Data Pull'!$A$2:$A$607,0)),"")</f>
        <v>28331603.776476894</v>
      </c>
      <c r="T94" s="38">
        <f>IF(INDEX('Prior Year TS Data Pull'!$A$1:$O$607,MATCH(C94,'Prior Year TS Data Pull'!$A$1:$A$607,0),MATCH("Temporary RN Staffing:
Line Reported on in Standardized Financials",'Prior Year TS Data Pull'!$A$1:$O$1,0))="66.1: Salary and Benefit Expense",'Prior Year Data Table'!$AV94-'Prior Year Data Table'!$S94,0)</f>
        <v>0</v>
      </c>
      <c r="U94" s="38">
        <f>IFERROR(INDEX('Prior Year Data Pull'!$A$2:$CB$593,MATCH(C94,'Prior Year Data Pull'!$A$2:$A$593,0),MATCH("Total Expenses Including Nonrecurring Gains Losses",'Prior Year Data Pull'!$A$1:$CB$1,0)),"")</f>
        <v>592984378</v>
      </c>
      <c r="V94" s="41">
        <f t="shared" si="18"/>
        <v>10.840148760335953</v>
      </c>
      <c r="W94" s="41">
        <f t="shared" si="19"/>
        <v>33.836249750321564</v>
      </c>
      <c r="X94" s="41">
        <f t="shared" si="20"/>
        <v>72.177734131120062</v>
      </c>
      <c r="Y94" s="37">
        <f t="shared" si="21"/>
        <v>6.6525751638204872E-2</v>
      </c>
      <c r="Z94" s="41">
        <f t="shared" si="22"/>
        <v>31.197131576447767</v>
      </c>
      <c r="AA94" s="39">
        <f t="shared" si="23"/>
        <v>9.9811513689415071E-2</v>
      </c>
      <c r="AB94" s="37">
        <f t="shared" si="24"/>
        <v>0.47586440606755365</v>
      </c>
      <c r="AC94" s="37">
        <f t="shared" si="25"/>
        <v>0.28628237561876835</v>
      </c>
      <c r="AD94" s="38">
        <f>IFERROR(INDEX('Prior Year Data Pull'!$A$2:$CB$593,MATCH(C94,'Prior Year Data Pull'!$A$2:$A$593,0),MATCH("Net Patient Service Revenue",'Prior Year Data Pull'!$A$1:$CB$1,0)),"")</f>
        <v>383908807</v>
      </c>
      <c r="AE94" s="38">
        <f>IFERROR(INDEX('Prior Year Data Pull'!$A$2:$CB$593,MATCH(C94,'Prior Year Data Pull'!$A$2:$A$593,0),MATCH("Total Current Assets",'Prior Year Data Pull'!$A$1:$CB$1,0)),"")</f>
        <v>144446859</v>
      </c>
      <c r="AF94" s="38">
        <f>IFERROR(INDEX('Prior Year Data Pull'!$A$2:$CB$593,MATCH(C94,'Prior Year Data Pull'!$A$2:$A$593,0),MATCH("Total Current Liabilities",'Prior Year Data Pull'!$A$1:$CB$1,0)),"")</f>
        <v>147254990</v>
      </c>
      <c r="AG94" s="38">
        <f>IFERROR(INDEX('Prior Year Data Pull'!$A$2:$CB$593,MATCH(C94,'Prior Year Data Pull'!$A$2:$A$593,0),MATCH("Total Non Operating Revenue",'Prior Year Data Pull'!$A$1:$CB$1,0)),"")</f>
        <v>44857158</v>
      </c>
      <c r="AH94" s="38">
        <f>IFERROR(INDEX('Prior Year Data Pull'!$A$2:$CB$593,MATCH(C94,'Prior Year Data Pull'!$A$2:$A$593,0),MATCH("Less Accumulated Depreciation",'Prior Year Data Pull'!$A$1:$CB$1,0)),"")</f>
        <v>200010349</v>
      </c>
      <c r="AI94" s="38">
        <f>IFERROR(INDEX('Prior Year Data Pull'!$A$2:$CB$593,MATCH(C94,'Prior Year Data Pull'!$A$2:$A$593,0),MATCH("Depreciation and Amortization Expense",'Prior Year Data Pull'!$A$1:$CB$1,0)),"")</f>
        <v>18450886</v>
      </c>
      <c r="AJ94" s="38">
        <f>IFERROR(INDEX('Prior Year Data Pull'!$A$2:$CB$593,MATCH(C94,'Prior Year Data Pull'!$A$2:$A$593,0),MATCH("Net Patient Accounts Receivable",'Prior Year Data Pull'!$A$1:$CB$1,0)),"")</f>
        <v>35589135</v>
      </c>
      <c r="AK94" s="14">
        <v>365</v>
      </c>
      <c r="AL94" s="38">
        <f>IFERROR(INDEX('Prior Year Data Pull'!$A$2:$CB$593,MATCH(C94,'Prior Year Data Pull'!$A$2:$A$593,0),MATCH("Estimated Third Party Settlements",'Prior Year Data Pull'!$A$1:$CB$1,0)),"")</f>
        <v>33642591</v>
      </c>
      <c r="AM94" s="38">
        <f>IFERROR(INDEX('Prior Year Data Pull'!$A$2:$CB$593,MATCH(C94,'Prior Year Data Pull'!$A$2:$A$593,0),MATCH("Current Liabilities due to Affiliates",'Prior Year Data Pull'!$A$1:$CB$1,0)),"")</f>
        <v>0</v>
      </c>
      <c r="AN94" s="38">
        <f>IFERROR(INDEX('Prior Year Data Pull'!$A$2:$CB$593,MATCH(C94,'Prior Year Data Pull'!$A$2:$A$593,0),MATCH("Short Term Investments",'Prior Year Data Pull'!$A$1:$CB$1,0)),"")</f>
        <v>0</v>
      </c>
      <c r="AO94" s="38">
        <f>IFERROR(INDEX('Prior Year Data Pull'!$A$2:$CB$593,MATCH(C94,'Prior Year Data Pull'!$A$2:$A$593,0),MATCH("Cash and Cash Equivalents",'Prior Year Data Pull'!$A$1:$CB$1,0)),"")</f>
        <v>49106293</v>
      </c>
      <c r="AP94" s="38">
        <f>IFERROR(INDEX('Prior Year Data Pull'!$A$2:$CB$593,MATCH(C94,'Prior Year Data Pull'!$A$2:$A$593,0),MATCH("Interest Expense",'Prior Year Data Pull'!$A$1:$CB$1,0)),"")</f>
        <v>3511171</v>
      </c>
      <c r="AQ94" s="38">
        <f>IFERROR(INDEX('Prior Year Data Pull'!$A$2:$CB$593,MATCH(C94,'Prior Year Data Pull'!$A$2:$A$593,0),MATCH("Long Term Debt Net of Current Portion",'Prior Year Data Pull'!$A$1:$CB$1,0)),"")</f>
        <v>94956988</v>
      </c>
      <c r="AR94" s="38">
        <f>IFERROR(INDEX('Prior Year Data Pull'!$A$2:$CB$593,MATCH(C94,'Prior Year Data Pull'!$A$2:$A$593,0),MATCH("Total Assets",'Prior Year Data Pull'!$A$1:$CB$1,0)),"")</f>
        <v>520774630</v>
      </c>
      <c r="AS94" s="38">
        <f>IFERROR(INDEX('Prior Year Data Pull'!$A$2:$CB$593,MATCH(C94,'Prior Year Data Pull'!$A$2:$A$593,0),MATCH("Long Term Debt Net of Current Portion",'Prior Year Data Pull'!$A$1:$CB$1,0)),"")</f>
        <v>94956988</v>
      </c>
      <c r="AT94" s="38">
        <f>IFERROR(INDEX('Prior Year Data Pull'!$A$2:$CB$593,MATCH(C94,'Prior Year Data Pull'!$A$2:$A$593,0),MATCH("Net Unrestricted Assets",'Prior Year Data Pull'!$A$1:$CB$1,0)),"")</f>
        <v>236732966</v>
      </c>
      <c r="AU94" s="38">
        <f>IFERROR(INDEX('Prior Year Data Pull'!$A$2:$CB$593,MATCH(C94,'Prior Year Data Pull'!$A$2:$A$593,0),MATCH("Unrealized Gains/Losses",'Prior Year Data Pull'!$A$1:$CB$1,0)),"")</f>
        <v>0</v>
      </c>
      <c r="AV94" s="38">
        <f>IFERROR(INDEX('Prior Year Data Pull'!$A$2:$CB$593,MATCH(C94,'Prior Year Data Pull'!$A$2:$A$593,0),MATCH("Salary and Benefit Expense",'Prior Year Data Pull'!$A$1:$CB$1,0)),"")</f>
        <v>339534331</v>
      </c>
    </row>
    <row r="95" spans="1:48" ht="34.200000000000003" x14ac:dyDescent="0.3">
      <c r="A95" s="46" t="str">
        <f>IFERROR(INDEX('Static Data Tab'!$N$2:$N$610,MATCH(D95,'Static Data Tab'!$D$2:$D$610,0)), "")</f>
        <v>Lawrence General Hospital and Affiliates</v>
      </c>
      <c r="B95" s="46" t="s">
        <v>140</v>
      </c>
      <c r="C95" s="46">
        <v>13118</v>
      </c>
      <c r="D95" s="46">
        <v>13156</v>
      </c>
      <c r="E95" s="46" t="str">
        <f>IFERROR(INDEX('Prior Year Data Pull'!$A$1:$CB$593,MATCH(C95,'Prior Year Data Pull'!$A$1:$A$593,0),MATCH("Organization Type",'Prior Year Data Pull'!$A$1:$CB$1,0)),"")</f>
        <v>PhysicianOrganization</v>
      </c>
      <c r="F95" s="46" t="str">
        <f>IFERROR(INDEX('Static Data Tab'!$E$2:$E$610,MATCH(C95,'Static Data Tab'!$B$2:$B$610,0)), "-")</f>
        <v>-</v>
      </c>
      <c r="G95" s="46" t="str">
        <f>IFERROR(INDEX('Static Data Tab'!$J$2:$J$610,MATCH(C95,'Static Data Tab'!$B$2:$B$610,0)), "")</f>
        <v/>
      </c>
      <c r="H95" s="46" t="str">
        <f>IFERROR(INDEX('Static Data Tab'!$F$2:$F$610,MATCH(C95,'Static Data Tab'!$B$2:$B$610,0)), "")</f>
        <v/>
      </c>
      <c r="I95" s="46" t="str">
        <f>IFERROR(INDEX('Static Data Tab'!$G$2:$G$610,MATCH(C95,'Static Data Tab'!$B$2:$B$610,0)), "")</f>
        <v/>
      </c>
      <c r="J95" s="46" t="str">
        <f>IFERROR(INDEX('Prior Year Data Pull'!$A$2:$CB$593,MATCH(C95,'Prior Year Data Pull'!$A$2:$A$593,0),MATCH("Quarter Range",'Prior Year Data Pull'!$A$1:$CB$1,0)),"")</f>
        <v xml:space="preserve">10/01/2024-09/30/2025
</v>
      </c>
      <c r="K95" s="45">
        <f t="shared" si="13"/>
        <v>-0.86964853243596929</v>
      </c>
      <c r="L95" s="45">
        <f t="shared" si="14"/>
        <v>0</v>
      </c>
      <c r="M95" s="45">
        <f t="shared" si="15"/>
        <v>-0.86964853243596929</v>
      </c>
      <c r="N95" s="47">
        <f t="shared" si="16"/>
        <v>-18607000</v>
      </c>
      <c r="O95" s="265" t="str">
        <f t="shared" si="17"/>
        <v/>
      </c>
      <c r="P95" s="47">
        <f>IFERROR(INDEX('Prior Year Data Pull'!$A$2:$CB$593,MATCH('Prior Year Data Table'!$C95,'Prior Year Data Pull'!$A$2:$A$593,0),MATCH("Total Net Assets or Equity",'Prior Year Data Pull'!$A$1:$CB$1,0)),"")</f>
        <v>0</v>
      </c>
      <c r="Q95" s="47">
        <f>IFERROR(INDEX('Prior Year Data Pull'!$A$2:$CB$593,MATCH('Prior Year Data Table'!$C95,'Prior Year Data Pull'!$A$2:$A$593,0),MATCH("Total Operating Revenue",'Prior Year Data Pull'!$A$1:$CB$1,0)),"")</f>
        <v>21396000</v>
      </c>
      <c r="R95" s="47">
        <f>IFERROR(INDEX('Prior Year Data Pull'!$A$2:$CB$593,MATCH('Prior Year Data Table'!$C95,'Prior Year Data Pull'!$A$2:$A$593,0),MATCH("Total Unrestricted Revenue Gains and Other Support",'Prior Year Data Pull'!$A$1:$CB$1,0)),"")</f>
        <v>21396000</v>
      </c>
      <c r="S95" s="47">
        <f>IFERROR(INDEX('Prior Year TS Data Pull'!$K$2:$K$607,MATCH(C95,'Prior Year TS Data Pull'!$A$2:$A$607,0))+INDEX('Prior Year TS Data Pull'!$O$2:$O$119,MATCH(C95,'Prior Year TS Data Pull'!$A$2:$A$607,0))+INDEX('Prior Year TS Data Pull'!$S$2:$S$119,MATCH(C95,'Prior Year TS Data Pull'!$A$2:$A$607,0)),"")</f>
        <v>531493.39</v>
      </c>
      <c r="T95" s="47">
        <f>IF(INDEX('Prior Year TS Data Pull'!$A$1:$O$607,MATCH(C95,'Prior Year TS Data Pull'!$A$1:$A$607,0),MATCH("Temporary RN Staffing:
Line Reported on in Standardized Financials",'Prior Year TS Data Pull'!$A$1:$O$1,0))="66.1: Salary and Benefit Expense",'Prior Year Data Table'!$AV95-'Prior Year Data Table'!$S95,0)</f>
        <v>0</v>
      </c>
      <c r="U95" s="47">
        <f>IFERROR(INDEX('Prior Year Data Pull'!$A$2:$CB$593,MATCH(C95,'Prior Year Data Pull'!$A$2:$A$593,0),MATCH("Total Expenses Including Nonrecurring Gains Losses",'Prior Year Data Pull'!$A$1:$CB$1,0)),"")</f>
        <v>40003000</v>
      </c>
      <c r="V95" s="266">
        <f t="shared" si="18"/>
        <v>0</v>
      </c>
      <c r="W95" s="266">
        <f t="shared" si="19"/>
        <v>0</v>
      </c>
      <c r="X95" s="266">
        <f t="shared" si="20"/>
        <v>0</v>
      </c>
      <c r="Y95" s="45" t="str">
        <f t="shared" si="21"/>
        <v/>
      </c>
      <c r="Z95" s="266">
        <f t="shared" si="22"/>
        <v>0</v>
      </c>
      <c r="AA95" s="265" t="str">
        <f t="shared" si="23"/>
        <v/>
      </c>
      <c r="AB95" s="45" t="str">
        <f t="shared" si="24"/>
        <v/>
      </c>
      <c r="AC95" s="45" t="str">
        <f t="shared" si="25"/>
        <v/>
      </c>
      <c r="AD95" s="47">
        <f>IFERROR(INDEX('Prior Year Data Pull'!$A$2:$CB$593,MATCH(C95,'Prior Year Data Pull'!$A$2:$A$593,0),MATCH("Net Patient Service Revenue",'Prior Year Data Pull'!$A$1:$CB$1,0)),"")</f>
        <v>14783000</v>
      </c>
      <c r="AE95" s="47">
        <f>IFERROR(INDEX('Prior Year Data Pull'!$A$2:$CB$593,MATCH(C95,'Prior Year Data Pull'!$A$2:$A$593,0),MATCH("Total Current Assets",'Prior Year Data Pull'!$A$1:$CB$1,0)),"")</f>
        <v>0</v>
      </c>
      <c r="AF95" s="47">
        <f>IFERROR(INDEX('Prior Year Data Pull'!$A$2:$CB$593,MATCH(C95,'Prior Year Data Pull'!$A$2:$A$593,0),MATCH("Total Current Liabilities",'Prior Year Data Pull'!$A$1:$CB$1,0)),"")</f>
        <v>0</v>
      </c>
      <c r="AG95" s="47">
        <f>IFERROR(INDEX('Prior Year Data Pull'!$A$2:$CB$593,MATCH(C95,'Prior Year Data Pull'!$A$2:$A$593,0),MATCH("Total Non Operating Revenue",'Prior Year Data Pull'!$A$1:$CB$1,0)),"")</f>
        <v>0</v>
      </c>
      <c r="AH95" s="47">
        <f>IFERROR(INDEX('Prior Year Data Pull'!$A$2:$CB$593,MATCH(C95,'Prior Year Data Pull'!$A$2:$A$593,0),MATCH("Less Accumulated Depreciation",'Prior Year Data Pull'!$A$1:$CB$1,0)),"")</f>
        <v>0</v>
      </c>
      <c r="AI95" s="47">
        <f>IFERROR(INDEX('Prior Year Data Pull'!$A$2:$CB$593,MATCH(C95,'Prior Year Data Pull'!$A$2:$A$593,0),MATCH("Depreciation and Amortization Expense",'Prior Year Data Pull'!$A$1:$CB$1,0)),"")</f>
        <v>177000</v>
      </c>
      <c r="AJ95" s="47">
        <f>IFERROR(INDEX('Prior Year Data Pull'!$A$2:$CB$593,MATCH(C95,'Prior Year Data Pull'!$A$2:$A$593,0),MATCH("Net Patient Accounts Receivable",'Prior Year Data Pull'!$A$1:$CB$1,0)),"")</f>
        <v>0</v>
      </c>
      <c r="AK95" s="46">
        <v>365</v>
      </c>
      <c r="AL95" s="47">
        <f>IFERROR(INDEX('Prior Year Data Pull'!$A$2:$CB$593,MATCH(C95,'Prior Year Data Pull'!$A$2:$A$593,0),MATCH("Estimated Third Party Settlements",'Prior Year Data Pull'!$A$1:$CB$1,0)),"")</f>
        <v>0</v>
      </c>
      <c r="AM95" s="47">
        <f>IFERROR(INDEX('Prior Year Data Pull'!$A$2:$CB$593,MATCH(C95,'Prior Year Data Pull'!$A$2:$A$593,0),MATCH("Current Liabilities due to Affiliates",'Prior Year Data Pull'!$A$1:$CB$1,0)),"")</f>
        <v>0</v>
      </c>
      <c r="AN95" s="47">
        <f>IFERROR(INDEX('Prior Year Data Pull'!$A$2:$CB$593,MATCH(C95,'Prior Year Data Pull'!$A$2:$A$593,0),MATCH("Short Term Investments",'Prior Year Data Pull'!$A$1:$CB$1,0)),"")</f>
        <v>0</v>
      </c>
      <c r="AO95" s="47">
        <f>IFERROR(INDEX('Prior Year Data Pull'!$A$2:$CB$593,MATCH(C95,'Prior Year Data Pull'!$A$2:$A$593,0),MATCH("Cash and Cash Equivalents",'Prior Year Data Pull'!$A$1:$CB$1,0)),"")</f>
        <v>0</v>
      </c>
      <c r="AP95" s="47">
        <f>IFERROR(INDEX('Prior Year Data Pull'!$A$2:$CB$593,MATCH(C95,'Prior Year Data Pull'!$A$2:$A$593,0),MATCH("Interest Expense",'Prior Year Data Pull'!$A$1:$CB$1,0)),"")</f>
        <v>0</v>
      </c>
      <c r="AQ95" s="47">
        <f>IFERROR(INDEX('Prior Year Data Pull'!$A$2:$CB$593,MATCH(C95,'Prior Year Data Pull'!$A$2:$A$593,0),MATCH("Long Term Debt Net of Current Portion",'Prior Year Data Pull'!$A$1:$CB$1,0)),"")</f>
        <v>0</v>
      </c>
      <c r="AR95" s="47">
        <f>IFERROR(INDEX('Prior Year Data Pull'!$A$2:$CB$593,MATCH(C95,'Prior Year Data Pull'!$A$2:$A$593,0),MATCH("Total Assets",'Prior Year Data Pull'!$A$1:$CB$1,0)),"")</f>
        <v>0</v>
      </c>
      <c r="AS95" s="47">
        <f>IFERROR(INDEX('Prior Year Data Pull'!$A$2:$CB$593,MATCH(C95,'Prior Year Data Pull'!$A$2:$A$593,0),MATCH("Long Term Debt Net of Current Portion",'Prior Year Data Pull'!$A$1:$CB$1,0)),"")</f>
        <v>0</v>
      </c>
      <c r="AT95" s="47">
        <f>IFERROR(INDEX('Prior Year Data Pull'!$A$2:$CB$593,MATCH(C95,'Prior Year Data Pull'!$A$2:$A$593,0),MATCH("Net Unrestricted Assets",'Prior Year Data Pull'!$A$1:$CB$1,0)),"")</f>
        <v>0</v>
      </c>
      <c r="AU95" s="47">
        <f>IFERROR(INDEX('Prior Year Data Pull'!$A$2:$CB$593,MATCH(C95,'Prior Year Data Pull'!$A$2:$A$593,0),MATCH("Unrealized Gains/Losses",'Prior Year Data Pull'!$A$1:$CB$1,0)),"")</f>
        <v>0</v>
      </c>
      <c r="AV95" s="47">
        <f>IFERROR(INDEX('Prior Year Data Pull'!$A$2:$CB$593,MATCH(C95,'Prior Year Data Pull'!$A$2:$A$593,0),MATCH("Salary and Benefit Expense",'Prior Year Data Pull'!$A$1:$CB$1,0)),"")</f>
        <v>30678000</v>
      </c>
    </row>
    <row r="96" spans="1:48" ht="34.200000000000003" x14ac:dyDescent="0.3">
      <c r="A96" s="14" t="str">
        <f>IFERROR(INDEX('Static Data Tab'!$N$2:$N$610,MATCH(D96,'Static Data Tab'!$D$2:$D$610,0)), "")</f>
        <v>South Shore Health System</v>
      </c>
      <c r="B96" s="14" t="s">
        <v>169</v>
      </c>
      <c r="C96" s="14">
        <v>13120</v>
      </c>
      <c r="D96" s="14">
        <v>12759</v>
      </c>
      <c r="E96" s="14" t="str">
        <f>IFERROR(INDEX('Prior Year Data Pull'!$A$1:$CB$593,MATCH(C96,'Prior Year Data Pull'!$A$1:$A$593,0),MATCH("Organization Type",'Prior Year Data Pull'!$A$1:$CB$1,0)),"")</f>
        <v>PhysicianOrganization</v>
      </c>
      <c r="F96" s="14" t="str">
        <f>IFERROR(INDEX('Static Data Tab'!$E$2:$E$610,MATCH(C96,'Static Data Tab'!$B$2:$B$610,0)), "-")</f>
        <v>-</v>
      </c>
      <c r="G96" s="14" t="str">
        <f>IFERROR(INDEX('Static Data Tab'!$J$2:$J$610,MATCH(C96,'Static Data Tab'!$B$2:$B$610,0)), "")</f>
        <v/>
      </c>
      <c r="H96" s="14" t="str">
        <f>IFERROR(INDEX('Static Data Tab'!$F$2:$F$610,MATCH(C96,'Static Data Tab'!$B$2:$B$610,0)), "")</f>
        <v/>
      </c>
      <c r="I96" s="14" t="str">
        <f>IFERROR(INDEX('Static Data Tab'!$G$2:$G$610,MATCH(C96,'Static Data Tab'!$B$2:$B$610,0)), "")</f>
        <v/>
      </c>
      <c r="J96" s="14" t="str">
        <f>IFERROR(INDEX('Prior Year Data Pull'!$A$2:$CB$593,MATCH(C96,'Prior Year Data Pull'!$A$2:$A$593,0),MATCH("Quarter Range",'Prior Year Data Pull'!$A$1:$CB$1,0)),"")</f>
        <v xml:space="preserve">10/01/2024-09/30/2025
</v>
      </c>
      <c r="K96" s="37">
        <f t="shared" si="13"/>
        <v>-0.16964318075592524</v>
      </c>
      <c r="L96" s="37">
        <f t="shared" si="14"/>
        <v>-1.8849557432132475E-3</v>
      </c>
      <c r="M96" s="37">
        <f t="shared" si="15"/>
        <v>-0.17152813649913848</v>
      </c>
      <c r="N96" s="38">
        <f t="shared" si="16"/>
        <v>-18385791</v>
      </c>
      <c r="O96" s="39" t="str">
        <f t="shared" si="17"/>
        <v/>
      </c>
      <c r="P96" s="38">
        <f>IFERROR(INDEX('Prior Year Data Pull'!$A$2:$CB$593,MATCH('Prior Year Data Table'!$C96,'Prior Year Data Pull'!$A$2:$A$593,0),MATCH("Total Net Assets or Equity",'Prior Year Data Pull'!$A$1:$CB$1,0)),"")</f>
        <v>0</v>
      </c>
      <c r="Q96" s="38">
        <f>IFERROR(INDEX('Prior Year Data Pull'!$A$2:$CB$593,MATCH('Prior Year Data Table'!$C96,'Prior Year Data Pull'!$A$2:$A$593,0),MATCH("Total Operating Revenue",'Prior Year Data Pull'!$A$1:$CB$1,0)),"")</f>
        <v>107390238</v>
      </c>
      <c r="R96" s="38">
        <f>IFERROR(INDEX('Prior Year Data Pull'!$A$2:$CB$593,MATCH('Prior Year Data Table'!$C96,'Prior Year Data Pull'!$A$2:$A$593,0),MATCH("Total Unrestricted Revenue Gains and Other Support",'Prior Year Data Pull'!$A$1:$CB$1,0)),"")</f>
        <v>107188193</v>
      </c>
      <c r="S96" s="38">
        <f>IFERROR(INDEX('Prior Year TS Data Pull'!$K$2:$K$607,MATCH(C96,'Prior Year TS Data Pull'!$A$2:$A$607,0))+INDEX('Prior Year TS Data Pull'!$O$2:$O$119,MATCH(C96,'Prior Year TS Data Pull'!$A$2:$A$607,0))+INDEX('Prior Year TS Data Pull'!$S$2:$S$119,MATCH(C96,'Prior Year TS Data Pull'!$A$2:$A$607,0)),"")</f>
        <v>384.75</v>
      </c>
      <c r="T96" s="38">
        <f>IF(INDEX('Prior Year TS Data Pull'!$A$1:$O$607,MATCH(C96,'Prior Year TS Data Pull'!$A$1:$A$607,0),MATCH("Temporary RN Staffing:
Line Reported on in Standardized Financials",'Prior Year TS Data Pull'!$A$1:$O$1,0))="66.1: Salary and Benefit Expense",'Prior Year Data Table'!$AV96-'Prior Year Data Table'!$S96,0)</f>
        <v>0</v>
      </c>
      <c r="U96" s="38">
        <f>IFERROR(INDEX('Prior Year Data Pull'!$A$2:$CB$593,MATCH(C96,'Prior Year Data Pull'!$A$2:$A$593,0),MATCH("Total Expenses Including Nonrecurring Gains Losses",'Prior Year Data Pull'!$A$1:$CB$1,0)),"")</f>
        <v>125573984</v>
      </c>
      <c r="V96" s="41">
        <f t="shared" si="18"/>
        <v>0</v>
      </c>
      <c r="W96" s="41">
        <f t="shared" si="19"/>
        <v>0</v>
      </c>
      <c r="X96" s="41">
        <f t="shared" si="20"/>
        <v>0</v>
      </c>
      <c r="Y96" s="37" t="str">
        <f t="shared" si="21"/>
        <v/>
      </c>
      <c r="Z96" s="41">
        <f t="shared" si="22"/>
        <v>0</v>
      </c>
      <c r="AA96" s="39">
        <f t="shared" si="23"/>
        <v>-9.4499174481487618</v>
      </c>
      <c r="AB96" s="37" t="str">
        <f t="shared" si="24"/>
        <v/>
      </c>
      <c r="AC96" s="37" t="str">
        <f t="shared" si="25"/>
        <v/>
      </c>
      <c r="AD96" s="38">
        <f>IFERROR(INDEX('Prior Year Data Pull'!$A$2:$CB$593,MATCH(C96,'Prior Year Data Pull'!$A$2:$A$593,0),MATCH("Net Patient Service Revenue",'Prior Year Data Pull'!$A$1:$CB$1,0)),"")</f>
        <v>96496338</v>
      </c>
      <c r="AE96" s="38">
        <f>IFERROR(INDEX('Prior Year Data Pull'!$A$2:$CB$593,MATCH(C96,'Prior Year Data Pull'!$A$2:$A$593,0),MATCH("Total Current Assets",'Prior Year Data Pull'!$A$1:$CB$1,0)),"")</f>
        <v>0</v>
      </c>
      <c r="AF96" s="38">
        <f>IFERROR(INDEX('Prior Year Data Pull'!$A$2:$CB$593,MATCH(C96,'Prior Year Data Pull'!$A$2:$A$593,0),MATCH("Total Current Liabilities",'Prior Year Data Pull'!$A$1:$CB$1,0)),"")</f>
        <v>0</v>
      </c>
      <c r="AG96" s="38">
        <f>IFERROR(INDEX('Prior Year Data Pull'!$A$2:$CB$593,MATCH(C96,'Prior Year Data Pull'!$A$2:$A$593,0),MATCH("Total Non Operating Revenue",'Prior Year Data Pull'!$A$1:$CB$1,0)),"")</f>
        <v>-202045</v>
      </c>
      <c r="AH96" s="38">
        <f>IFERROR(INDEX('Prior Year Data Pull'!$A$2:$CB$593,MATCH(C96,'Prior Year Data Pull'!$A$2:$A$593,0),MATCH("Less Accumulated Depreciation",'Prior Year Data Pull'!$A$1:$CB$1,0)),"")</f>
        <v>0</v>
      </c>
      <c r="AI96" s="38">
        <f>IFERROR(INDEX('Prior Year Data Pull'!$A$2:$CB$593,MATCH(C96,'Prior Year Data Pull'!$A$2:$A$593,0),MATCH("Depreciation and Amortization Expense",'Prior Year Data Pull'!$A$1:$CB$1,0)),"")</f>
        <v>2484751</v>
      </c>
      <c r="AJ96" s="38">
        <f>IFERROR(INDEX('Prior Year Data Pull'!$A$2:$CB$593,MATCH(C96,'Prior Year Data Pull'!$A$2:$A$593,0),MATCH("Net Patient Accounts Receivable",'Prior Year Data Pull'!$A$1:$CB$1,0)),"")</f>
        <v>0</v>
      </c>
      <c r="AK96" s="14">
        <v>365</v>
      </c>
      <c r="AL96" s="38">
        <f>IFERROR(INDEX('Prior Year Data Pull'!$A$2:$CB$593,MATCH(C96,'Prior Year Data Pull'!$A$2:$A$593,0),MATCH("Estimated Third Party Settlements",'Prior Year Data Pull'!$A$1:$CB$1,0)),"")</f>
        <v>0</v>
      </c>
      <c r="AM96" s="38">
        <f>IFERROR(INDEX('Prior Year Data Pull'!$A$2:$CB$593,MATCH(C96,'Prior Year Data Pull'!$A$2:$A$593,0),MATCH("Current Liabilities due to Affiliates",'Prior Year Data Pull'!$A$1:$CB$1,0)),"")</f>
        <v>0</v>
      </c>
      <c r="AN96" s="38">
        <f>IFERROR(INDEX('Prior Year Data Pull'!$A$2:$CB$593,MATCH(C96,'Prior Year Data Pull'!$A$2:$A$593,0),MATCH("Short Term Investments",'Prior Year Data Pull'!$A$1:$CB$1,0)),"")</f>
        <v>0</v>
      </c>
      <c r="AO96" s="38">
        <f>IFERROR(INDEX('Prior Year Data Pull'!$A$2:$CB$593,MATCH(C96,'Prior Year Data Pull'!$A$2:$A$593,0),MATCH("Cash and Cash Equivalents",'Prior Year Data Pull'!$A$1:$CB$1,0)),"")</f>
        <v>0</v>
      </c>
      <c r="AP96" s="38">
        <f>IFERROR(INDEX('Prior Year Data Pull'!$A$2:$CB$593,MATCH(C96,'Prior Year Data Pull'!$A$2:$A$593,0),MATCH("Interest Expense",'Prior Year Data Pull'!$A$1:$CB$1,0)),"")</f>
        <v>1521468</v>
      </c>
      <c r="AQ96" s="38">
        <f>IFERROR(INDEX('Prior Year Data Pull'!$A$2:$CB$593,MATCH(C96,'Prior Year Data Pull'!$A$2:$A$593,0),MATCH("Long Term Debt Net of Current Portion",'Prior Year Data Pull'!$A$1:$CB$1,0)),"")</f>
        <v>0</v>
      </c>
      <c r="AR96" s="38">
        <f>IFERROR(INDEX('Prior Year Data Pull'!$A$2:$CB$593,MATCH(C96,'Prior Year Data Pull'!$A$2:$A$593,0),MATCH("Total Assets",'Prior Year Data Pull'!$A$1:$CB$1,0)),"")</f>
        <v>0</v>
      </c>
      <c r="AS96" s="38">
        <f>IFERROR(INDEX('Prior Year Data Pull'!$A$2:$CB$593,MATCH(C96,'Prior Year Data Pull'!$A$2:$A$593,0),MATCH("Long Term Debt Net of Current Portion",'Prior Year Data Pull'!$A$1:$CB$1,0)),"")</f>
        <v>0</v>
      </c>
      <c r="AT96" s="38">
        <f>IFERROR(INDEX('Prior Year Data Pull'!$A$2:$CB$593,MATCH(C96,'Prior Year Data Pull'!$A$2:$A$593,0),MATCH("Net Unrestricted Assets",'Prior Year Data Pull'!$A$1:$CB$1,0)),"")</f>
        <v>0</v>
      </c>
      <c r="AU96" s="38">
        <f>IFERROR(INDEX('Prior Year Data Pull'!$A$2:$CB$593,MATCH(C96,'Prior Year Data Pull'!$A$2:$A$593,0),MATCH("Unrealized Gains/Losses",'Prior Year Data Pull'!$A$1:$CB$1,0)),"")</f>
        <v>-1825</v>
      </c>
      <c r="AV96" s="38">
        <f>IFERROR(INDEX('Prior Year Data Pull'!$A$2:$CB$593,MATCH(C96,'Prior Year Data Pull'!$A$2:$A$593,0),MATCH("Salary and Benefit Expense",'Prior Year Data Pull'!$A$1:$CB$1,0)),"")</f>
        <v>84284261</v>
      </c>
    </row>
    <row r="97" spans="1:48" ht="34.200000000000003" x14ac:dyDescent="0.3">
      <c r="A97" s="46" t="str">
        <f>IFERROR(INDEX('Static Data Tab'!$N$2:$N$610,MATCH(D97,'Static Data Tab'!$D$2:$D$610,0)), "")</f>
        <v>South Coast Health System</v>
      </c>
      <c r="B97" s="46" t="s">
        <v>170</v>
      </c>
      <c r="C97" s="46">
        <v>4027</v>
      </c>
      <c r="D97" s="46">
        <v>4027</v>
      </c>
      <c r="E97" s="46" t="str">
        <f>IFERROR(INDEX('Prior Year Data Pull'!$A$1:$CB$593,MATCH(C97,'Prior Year Data Pull'!$A$1:$A$593,0),MATCH("Organization Type",'Prior Year Data Pull'!$A$1:$CB$1,0)),"")</f>
        <v>HHS</v>
      </c>
      <c r="F97" s="46" t="str">
        <f>IFERROR(INDEX('Static Data Tab'!$E$2:$E$610,MATCH(C97,'Static Data Tab'!$B$2:$B$610,0)), "-")</f>
        <v>-</v>
      </c>
      <c r="G97" s="46" t="str">
        <f>IFERROR(INDEX('Static Data Tab'!$J$2:$J$610,MATCH(C97,'Static Data Tab'!$B$2:$B$610,0)), "")</f>
        <v/>
      </c>
      <c r="H97" s="46" t="str">
        <f>IFERROR(INDEX('Static Data Tab'!$F$2:$F$610,MATCH(C97,'Static Data Tab'!$B$2:$B$610,0)), "")</f>
        <v/>
      </c>
      <c r="I97" s="46" t="str">
        <f>IFERROR(INDEX('Static Data Tab'!$G$2:$G$610,MATCH(C97,'Static Data Tab'!$B$2:$B$610,0)), "")</f>
        <v/>
      </c>
      <c r="J97" s="46" t="str">
        <f>IFERROR(INDEX('Prior Year Data Pull'!$A$2:$CB$593,MATCH(C97,'Prior Year Data Pull'!$A$2:$A$593,0),MATCH("Quarter Range",'Prior Year Data Pull'!$A$1:$CB$1,0)),"")</f>
        <v xml:space="preserve">10/01/2024-09/30/2025
</v>
      </c>
      <c r="K97" s="45">
        <f t="shared" si="13"/>
        <v>3.6470488880131148E-3</v>
      </c>
      <c r="L97" s="45">
        <f t="shared" si="14"/>
        <v>4.3679627030617188E-2</v>
      </c>
      <c r="M97" s="45">
        <f t="shared" si="15"/>
        <v>4.7326675918630406E-2</v>
      </c>
      <c r="N97" s="47">
        <f t="shared" si="16"/>
        <v>83538412.930000067</v>
      </c>
      <c r="O97" s="265">
        <f t="shared" si="17"/>
        <v>1.275183920613759</v>
      </c>
      <c r="P97" s="47">
        <f>IFERROR(INDEX('Prior Year Data Pull'!$A$2:$CB$593,MATCH('Prior Year Data Table'!$C97,'Prior Year Data Pull'!$A$2:$A$593,0),MATCH("Total Net Assets or Equity",'Prior Year Data Pull'!$A$1:$CB$1,0)),"")</f>
        <v>1095831374.8310001</v>
      </c>
      <c r="Q97" s="47">
        <f>IFERROR(INDEX('Prior Year Data Pull'!$A$2:$CB$593,MATCH('Prior Year Data Table'!$C97,'Prior Year Data Pull'!$A$2:$A$593,0),MATCH("Total Operating Revenue",'Prior Year Data Pull'!$A$1:$CB$1,0)),"")</f>
        <v>1688043469.3499999</v>
      </c>
      <c r="R97" s="47">
        <f>IFERROR(INDEX('Prior Year Data Pull'!$A$2:$CB$593,MATCH('Prior Year Data Table'!$C97,'Prior Year Data Pull'!$A$2:$A$593,0),MATCH("Total Unrestricted Revenue Gains and Other Support",'Prior Year Data Pull'!$A$1:$CB$1,0)),"")</f>
        <v>1765144314.6700001</v>
      </c>
      <c r="S97" s="47">
        <f>IFERROR(INDEX('Prior Year TS Data Pull'!$K$2:$K$607,MATCH(C97,'Prior Year TS Data Pull'!$A$2:$A$607,0))+INDEX('Prior Year TS Data Pull'!$O$2:$O$119,MATCH(C97,'Prior Year TS Data Pull'!$A$2:$A$607,0))+INDEX('Prior Year TS Data Pull'!$S$2:$S$119,MATCH(C97,'Prior Year TS Data Pull'!$A$2:$A$607,0)),"")</f>
        <v>10954568.636866361</v>
      </c>
      <c r="T97" s="47">
        <f>IF(INDEX('Prior Year TS Data Pull'!$A$1:$O$607,MATCH(C97,'Prior Year TS Data Pull'!$A$1:$A$607,0),MATCH("Temporary RN Staffing:
Line Reported on in Standardized Financials",'Prior Year TS Data Pull'!$A$1:$O$1,0))="66.1: Salary and Benefit Expense",'Prior Year Data Table'!$AV97-'Prior Year Data Table'!$S97,0)</f>
        <v>975450822.50313365</v>
      </c>
      <c r="U97" s="47">
        <f>IFERROR(INDEX('Prior Year Data Pull'!$A$2:$CB$593,MATCH(C97,'Prior Year Data Pull'!$A$2:$A$593,0),MATCH("Total Expenses Including Nonrecurring Gains Losses",'Prior Year Data Pull'!$A$1:$CB$1,0)),"")</f>
        <v>1681605901.74</v>
      </c>
      <c r="V97" s="266">
        <f t="shared" si="18"/>
        <v>13.312177528832862</v>
      </c>
      <c r="W97" s="266">
        <f t="shared" si="19"/>
        <v>39.080764690000578</v>
      </c>
      <c r="X97" s="266">
        <f t="shared" si="20"/>
        <v>58.533981943941129</v>
      </c>
      <c r="Y97" s="45">
        <f t="shared" si="21"/>
        <v>0.44908485480025717</v>
      </c>
      <c r="Z97" s="266">
        <f t="shared" si="22"/>
        <v>18.072813186233031</v>
      </c>
      <c r="AA97" s="265">
        <f t="shared" si="23"/>
        <v>0.46635438671852192</v>
      </c>
      <c r="AB97" s="45">
        <f t="shared" si="24"/>
        <v>0.63256845978780518</v>
      </c>
      <c r="AC97" s="45">
        <f t="shared" si="25"/>
        <v>0.17809781185308415</v>
      </c>
      <c r="AD97" s="47">
        <f>IFERROR(INDEX('Prior Year Data Pull'!$A$2:$CB$593,MATCH(C97,'Prior Year Data Pull'!$A$2:$A$593,0),MATCH("Net Patient Service Revenue",'Prior Year Data Pull'!$A$1:$CB$1,0)),"")</f>
        <v>1463102998.28</v>
      </c>
      <c r="AE97" s="47">
        <f>IFERROR(INDEX('Prior Year Data Pull'!$A$2:$CB$593,MATCH(C97,'Prior Year Data Pull'!$A$2:$A$593,0),MATCH("Total Current Assets",'Prior Year Data Pull'!$A$1:$CB$1,0)),"")</f>
        <v>336017371.91000003</v>
      </c>
      <c r="AF97" s="47">
        <f>IFERROR(INDEX('Prior Year Data Pull'!$A$2:$CB$593,MATCH(C97,'Prior Year Data Pull'!$A$2:$A$593,0),MATCH("Total Current Liabilities",'Prior Year Data Pull'!$A$1:$CB$1,0)),"")</f>
        <v>263505025.80700001</v>
      </c>
      <c r="AG97" s="47">
        <f>IFERROR(INDEX('Prior Year Data Pull'!$A$2:$CB$593,MATCH(C97,'Prior Year Data Pull'!$A$2:$A$593,0),MATCH("Total Non Operating Revenue",'Prior Year Data Pull'!$A$1:$CB$1,0)),"")</f>
        <v>77100845.319999993</v>
      </c>
      <c r="AH97" s="47">
        <f>IFERROR(INDEX('Prior Year Data Pull'!$A$2:$CB$593,MATCH(C97,'Prior Year Data Pull'!$A$2:$A$593,0),MATCH("Less Accumulated Depreciation",'Prior Year Data Pull'!$A$1:$CB$1,0)),"")</f>
        <v>768396374.24000001</v>
      </c>
      <c r="AI97" s="47">
        <f>IFERROR(INDEX('Prior Year Data Pull'!$A$2:$CB$593,MATCH(C97,'Prior Year Data Pull'!$A$2:$A$593,0),MATCH("Depreciation and Amortization Expense",'Prior Year Data Pull'!$A$1:$CB$1,0)),"")</f>
        <v>57721313.630000003</v>
      </c>
      <c r="AJ97" s="47">
        <f>IFERROR(INDEX('Prior Year Data Pull'!$A$2:$CB$593,MATCH(C97,'Prior Year Data Pull'!$A$2:$A$593,0),MATCH("Net Patient Accounts Receivable",'Prior Year Data Pull'!$A$1:$CB$1,0)),"")</f>
        <v>156655298.611</v>
      </c>
      <c r="AK97" s="46">
        <v>365</v>
      </c>
      <c r="AL97" s="47">
        <f>IFERROR(INDEX('Prior Year Data Pull'!$A$2:$CB$593,MATCH(C97,'Prior Year Data Pull'!$A$2:$A$593,0),MATCH("Estimated Third Party Settlements",'Prior Year Data Pull'!$A$1:$CB$1,0)),"")</f>
        <v>3087406.1919999998</v>
      </c>
      <c r="AM97" s="47">
        <f>IFERROR(INDEX('Prior Year Data Pull'!$A$2:$CB$593,MATCH(C97,'Prior Year Data Pull'!$A$2:$A$593,0),MATCH("Current Liabilities due to Affiliates",'Prior Year Data Pull'!$A$1:$CB$1,0)),"")</f>
        <v>0</v>
      </c>
      <c r="AN97" s="47">
        <f>IFERROR(INDEX('Prior Year Data Pull'!$A$2:$CB$593,MATCH(C97,'Prior Year Data Pull'!$A$2:$A$593,0),MATCH("Short Term Investments",'Prior Year Data Pull'!$A$1:$CB$1,0)),"")</f>
        <v>6213512.21</v>
      </c>
      <c r="AO97" s="47">
        <f>IFERROR(INDEX('Prior Year Data Pull'!$A$2:$CB$593,MATCH(C97,'Prior Year Data Pull'!$A$2:$A$593,0),MATCH("Cash and Cash Equivalents",'Prior Year Data Pull'!$A$1:$CB$1,0)),"")</f>
        <v>74192413.261000007</v>
      </c>
      <c r="AP97" s="47">
        <f>IFERROR(INDEX('Prior Year Data Pull'!$A$2:$CB$593,MATCH(C97,'Prior Year Data Pull'!$A$2:$A$593,0),MATCH("Interest Expense",'Prior Year Data Pull'!$A$1:$CB$1,0)),"")</f>
        <v>6934406.4000000004</v>
      </c>
      <c r="AQ97" s="47">
        <f>IFERROR(INDEX('Prior Year Data Pull'!$A$2:$CB$593,MATCH(C97,'Prior Year Data Pull'!$A$2:$A$593,0),MATCH("Long Term Debt Net of Current Portion",'Prior Year Data Pull'!$A$1:$CB$1,0)),"")</f>
        <v>214280014.86000001</v>
      </c>
      <c r="AR97" s="47">
        <f>IFERROR(INDEX('Prior Year Data Pull'!$A$2:$CB$593,MATCH(C97,'Prior Year Data Pull'!$A$2:$A$593,0),MATCH("Total Assets",'Prior Year Data Pull'!$A$1:$CB$1,0)),"")</f>
        <v>1732352218.76</v>
      </c>
      <c r="AS97" s="47">
        <f>IFERROR(INDEX('Prior Year Data Pull'!$A$2:$CB$593,MATCH(C97,'Prior Year Data Pull'!$A$2:$A$593,0),MATCH("Long Term Debt Net of Current Portion",'Prior Year Data Pull'!$A$1:$CB$1,0)),"")</f>
        <v>214280014.86000001</v>
      </c>
      <c r="AT97" s="47">
        <f>IFERROR(INDEX('Prior Year Data Pull'!$A$2:$CB$593,MATCH(C97,'Prior Year Data Pull'!$A$2:$A$593,0),MATCH("Net Unrestricted Assets",'Prior Year Data Pull'!$A$1:$CB$1,0)),"")</f>
        <v>988879151.61399996</v>
      </c>
      <c r="AU97" s="47">
        <f>IFERROR(INDEX('Prior Year Data Pull'!$A$2:$CB$593,MATCH(C97,'Prior Year Data Pull'!$A$2:$A$593,0),MATCH("Unrealized Gains/Losses",'Prior Year Data Pull'!$A$1:$CB$1,0)),"")</f>
        <v>45029817.200000003</v>
      </c>
      <c r="AV97" s="47">
        <f>IFERROR(INDEX('Prior Year Data Pull'!$A$2:$CB$593,MATCH(C97,'Prior Year Data Pull'!$A$2:$A$593,0),MATCH("Salary and Benefit Expense",'Prior Year Data Pull'!$A$1:$CB$1,0)),"")</f>
        <v>986405391.13999999</v>
      </c>
    </row>
    <row r="98" spans="1:48" ht="34.200000000000003" x14ac:dyDescent="0.3">
      <c r="A98" s="14" t="str">
        <f>IFERROR(INDEX('Static Data Tab'!$N$2:$N$610,MATCH(D98,'Static Data Tab'!$D$2:$D$610,0)), "")</f>
        <v>South Shore Health System</v>
      </c>
      <c r="B98" s="14" t="s">
        <v>166</v>
      </c>
      <c r="C98" s="14">
        <v>12759</v>
      </c>
      <c r="D98" s="14">
        <v>12759</v>
      </c>
      <c r="E98" s="14" t="str">
        <f>IFERROR(INDEX('Prior Year Data Pull'!$A$1:$CB$593,MATCH(C98,'Prior Year Data Pull'!$A$1:$A$593,0),MATCH("Organization Type",'Prior Year Data Pull'!$A$1:$CB$1,0)),"")</f>
        <v>HHS</v>
      </c>
      <c r="F98" s="14" t="str">
        <f>IFERROR(INDEX('Static Data Tab'!$E$2:$E$610,MATCH(C98,'Static Data Tab'!$B$2:$B$610,0)), "-")</f>
        <v>-</v>
      </c>
      <c r="G98" s="14" t="str">
        <f>IFERROR(INDEX('Static Data Tab'!$J$2:$J$610,MATCH(C98,'Static Data Tab'!$B$2:$B$610,0)), "")</f>
        <v/>
      </c>
      <c r="H98" s="14" t="str">
        <f>IFERROR(INDEX('Static Data Tab'!$F$2:$F$610,MATCH(C98,'Static Data Tab'!$B$2:$B$610,0)), "")</f>
        <v/>
      </c>
      <c r="I98" s="14" t="str">
        <f>IFERROR(INDEX('Static Data Tab'!$G$2:$G$610,MATCH(C98,'Static Data Tab'!$B$2:$B$610,0)), "")</f>
        <v/>
      </c>
      <c r="J98" s="14" t="str">
        <f>IFERROR(INDEX('Prior Year Data Pull'!$A$2:$CB$593,MATCH(C98,'Prior Year Data Pull'!$A$2:$A$593,0),MATCH("Quarter Range",'Prior Year Data Pull'!$A$1:$CB$1,0)),"")</f>
        <v xml:space="preserve">10/01/2024-09/30/2025
</v>
      </c>
      <c r="K98" s="37">
        <f t="shared" si="13"/>
        <v>-3.9130842205571448E-2</v>
      </c>
      <c r="L98" s="37">
        <f t="shared" si="14"/>
        <v>1.4417524164106259E-2</v>
      </c>
      <c r="M98" s="37">
        <f t="shared" si="15"/>
        <v>-2.471331804146519E-2</v>
      </c>
      <c r="N98" s="38">
        <f t="shared" si="16"/>
        <v>-25067168</v>
      </c>
      <c r="O98" s="39">
        <f t="shared" si="17"/>
        <v>1.2228196519461467</v>
      </c>
      <c r="P98" s="38">
        <f>IFERROR(INDEX('Prior Year Data Pull'!$A$2:$CB$593,MATCH('Prior Year Data Table'!$C98,'Prior Year Data Pull'!$A$2:$A$593,0),MATCH("Total Net Assets or Equity",'Prior Year Data Pull'!$A$1:$CB$1,0)),"")</f>
        <v>410712852</v>
      </c>
      <c r="Q98" s="38">
        <f>IFERROR(INDEX('Prior Year Data Pull'!$A$2:$CB$593,MATCH('Prior Year Data Table'!$C98,'Prior Year Data Pull'!$A$2:$A$593,0),MATCH("Total Operating Revenue",'Prior Year Data Pull'!$A$1:$CB$1,0)),"")</f>
        <v>999694232</v>
      </c>
      <c r="R98" s="38">
        <f>IFERROR(INDEX('Prior Year Data Pull'!$A$2:$CB$593,MATCH('Prior Year Data Table'!$C98,'Prior Year Data Pull'!$A$2:$A$593,0),MATCH("Total Unrestricted Revenue Gains and Other Support",'Prior Year Data Pull'!$A$1:$CB$1,0)),"")</f>
        <v>1014318189</v>
      </c>
      <c r="S98" s="38">
        <f>IFERROR(INDEX('Prior Year TS Data Pull'!$K$2:$K$607,MATCH(C98,'Prior Year TS Data Pull'!$A$2:$A$607,0))+INDEX('Prior Year TS Data Pull'!$O$2:$O$119,MATCH(C98,'Prior Year TS Data Pull'!$A$2:$A$607,0))+INDEX('Prior Year TS Data Pull'!$S$2:$S$119,MATCH(C98,'Prior Year TS Data Pull'!$A$2:$A$607,0)),"")</f>
        <v>5448116.8100000005</v>
      </c>
      <c r="T98" s="38">
        <f>IF(INDEX('Prior Year TS Data Pull'!$A$1:$O$607,MATCH(C98,'Prior Year TS Data Pull'!$A$1:$A$607,0),MATCH("Temporary RN Staffing:
Line Reported on in Standardized Financials",'Prior Year TS Data Pull'!$A$1:$O$1,0))="66.1: Salary and Benefit Expense",'Prior Year Data Table'!$AV98-'Prior Year Data Table'!$S98,0)</f>
        <v>0</v>
      </c>
      <c r="U98" s="38">
        <f>IFERROR(INDEX('Prior Year Data Pull'!$A$2:$CB$593,MATCH(C98,'Prior Year Data Pull'!$A$2:$A$593,0),MATCH("Total Expenses Including Nonrecurring Gains Losses",'Prior Year Data Pull'!$A$1:$CB$1,0)),"")</f>
        <v>1039385357</v>
      </c>
      <c r="V98" s="41">
        <f t="shared" si="18"/>
        <v>13.692367306251414</v>
      </c>
      <c r="W98" s="41">
        <f t="shared" si="19"/>
        <v>45.149462005919887</v>
      </c>
      <c r="X98" s="41">
        <f t="shared" si="20"/>
        <v>62.055067744987532</v>
      </c>
      <c r="Y98" s="37">
        <f t="shared" si="21"/>
        <v>0.13377270960453452</v>
      </c>
      <c r="Z98" s="41">
        <f t="shared" si="22"/>
        <v>13.201428731487107</v>
      </c>
      <c r="AA98" s="39">
        <f t="shared" si="23"/>
        <v>0.17466286106385961</v>
      </c>
      <c r="AB98" s="37">
        <f t="shared" si="24"/>
        <v>0.5026512260126067</v>
      </c>
      <c r="AC98" s="37">
        <f t="shared" si="25"/>
        <v>0.32471877013499195</v>
      </c>
      <c r="AD98" s="38">
        <f>IFERROR(INDEX('Prior Year Data Pull'!$A$2:$CB$593,MATCH(C98,'Prior Year Data Pull'!$A$2:$A$593,0),MATCH("Net Patient Service Revenue",'Prior Year Data Pull'!$A$1:$CB$1,0)),"")</f>
        <v>930385981</v>
      </c>
      <c r="AE98" s="38">
        <f>IFERROR(INDEX('Prior Year Data Pull'!$A$2:$CB$593,MATCH(C98,'Prior Year Data Pull'!$A$2:$A$593,0),MATCH("Total Current Assets",'Prior Year Data Pull'!$A$1:$CB$1,0)),"")</f>
        <v>212918001</v>
      </c>
      <c r="AF98" s="38">
        <f>IFERROR(INDEX('Prior Year Data Pull'!$A$2:$CB$593,MATCH(C98,'Prior Year Data Pull'!$A$2:$A$593,0),MATCH("Total Current Liabilities",'Prior Year Data Pull'!$A$1:$CB$1,0)),"")</f>
        <v>174120526</v>
      </c>
      <c r="AG98" s="38">
        <f>IFERROR(INDEX('Prior Year Data Pull'!$A$2:$CB$593,MATCH(C98,'Prior Year Data Pull'!$A$2:$A$593,0),MATCH("Total Non Operating Revenue",'Prior Year Data Pull'!$A$1:$CB$1,0)),"")</f>
        <v>14623957</v>
      </c>
      <c r="AH98" s="38">
        <f>IFERROR(INDEX('Prior Year Data Pull'!$A$2:$CB$593,MATCH(C98,'Prior Year Data Pull'!$A$2:$A$593,0),MATCH("Less Accumulated Depreciation",'Prior Year Data Pull'!$A$1:$CB$1,0)),"")</f>
        <v>471205500</v>
      </c>
      <c r="AI98" s="38">
        <f>IFERROR(INDEX('Prior Year Data Pull'!$A$2:$CB$593,MATCH(C98,'Prior Year Data Pull'!$A$2:$A$593,0),MATCH("Depreciation and Amortization Expense",'Prior Year Data Pull'!$A$1:$CB$1,0)),"")</f>
        <v>34413735</v>
      </c>
      <c r="AJ98" s="38">
        <f>IFERROR(INDEX('Prior Year Data Pull'!$A$2:$CB$593,MATCH(C98,'Prior Year Data Pull'!$A$2:$A$593,0),MATCH("Net Patient Accounts Receivable",'Prior Year Data Pull'!$A$1:$CB$1,0)),"")</f>
        <v>115086100</v>
      </c>
      <c r="AK98" s="14">
        <v>365</v>
      </c>
      <c r="AL98" s="38">
        <f>IFERROR(INDEX('Prior Year Data Pull'!$A$2:$CB$593,MATCH(C98,'Prior Year Data Pull'!$A$2:$A$593,0),MATCH("Estimated Third Party Settlements",'Prior Year Data Pull'!$A$1:$CB$1,0)),"")</f>
        <v>3261397</v>
      </c>
      <c r="AM98" s="38">
        <f>IFERROR(INDEX('Prior Year Data Pull'!$A$2:$CB$593,MATCH(C98,'Prior Year Data Pull'!$A$2:$A$593,0),MATCH("Current Liabilities due to Affiliates",'Prior Year Data Pull'!$A$1:$CB$1,0)),"")</f>
        <v>0</v>
      </c>
      <c r="AN98" s="38">
        <f>IFERROR(INDEX('Prior Year Data Pull'!$A$2:$CB$593,MATCH(C98,'Prior Year Data Pull'!$A$2:$A$593,0),MATCH("Short Term Investments",'Prior Year Data Pull'!$A$1:$CB$1,0)),"")</f>
        <v>138416</v>
      </c>
      <c r="AO98" s="38">
        <f>IFERROR(INDEX('Prior Year Data Pull'!$A$2:$CB$593,MATCH(C98,'Prior Year Data Pull'!$A$2:$A$593,0),MATCH("Cash and Cash Equivalents",'Prior Year Data Pull'!$A$1:$CB$1,0)),"")</f>
        <v>36209697</v>
      </c>
      <c r="AP98" s="38">
        <f>IFERROR(INDEX('Prior Year Data Pull'!$A$2:$CB$593,MATCH(C98,'Prior Year Data Pull'!$A$2:$A$593,0),MATCH("Interest Expense",'Prior Year Data Pull'!$A$1:$CB$1,0)),"")</f>
        <v>9346102</v>
      </c>
      <c r="AQ98" s="38">
        <f>IFERROR(INDEX('Prior Year Data Pull'!$A$2:$CB$593,MATCH(C98,'Prior Year Data Pull'!$A$2:$A$593,0),MATCH("Long Term Debt Net of Current Portion",'Prior Year Data Pull'!$A$1:$CB$1,0)),"")</f>
        <v>188644082</v>
      </c>
      <c r="AR98" s="38">
        <f>IFERROR(INDEX('Prior Year Data Pull'!$A$2:$CB$593,MATCH(C98,'Prior Year Data Pull'!$A$2:$A$593,0),MATCH("Total Assets",'Prior Year Data Pull'!$A$1:$CB$1,0)),"")</f>
        <v>817093107</v>
      </c>
      <c r="AS98" s="38">
        <f>IFERROR(INDEX('Prior Year Data Pull'!$A$2:$CB$593,MATCH(C98,'Prior Year Data Pull'!$A$2:$A$593,0),MATCH("Long Term Debt Net of Current Portion",'Prior Year Data Pull'!$A$1:$CB$1,0)),"")</f>
        <v>188644082</v>
      </c>
      <c r="AT98" s="38">
        <f>IFERROR(INDEX('Prior Year Data Pull'!$A$2:$CB$593,MATCH(C98,'Prior Year Data Pull'!$A$2:$A$593,0),MATCH("Net Unrestricted Assets",'Prior Year Data Pull'!$A$1:$CB$1,0)),"")</f>
        <v>392301953</v>
      </c>
      <c r="AU98" s="38">
        <f>IFERROR(INDEX('Prior Year Data Pull'!$A$2:$CB$593,MATCH(C98,'Prior Year Data Pull'!$A$2:$A$593,0),MATCH("Unrealized Gains/Losses",'Prior Year Data Pull'!$A$1:$CB$1,0)),"")</f>
        <v>-15888863</v>
      </c>
      <c r="AV98" s="38">
        <f>IFERROR(INDEX('Prior Year Data Pull'!$A$2:$CB$593,MATCH(C98,'Prior Year Data Pull'!$A$2:$A$593,0),MATCH("Salary and Benefit Expense",'Prior Year Data Pull'!$A$1:$CB$1,0)),"")</f>
        <v>688752998</v>
      </c>
    </row>
    <row r="99" spans="1:48" ht="34.200000000000003" x14ac:dyDescent="0.3">
      <c r="A99" s="46" t="str">
        <f>IFERROR(INDEX('Static Data Tab'!$N$2:$N$610,MATCH(D99,'Static Data Tab'!$D$2:$D$610,0)), "")</f>
        <v>Sturdy Memorial Foundation</v>
      </c>
      <c r="B99" s="46" t="s">
        <v>179</v>
      </c>
      <c r="C99" s="46">
        <v>12773</v>
      </c>
      <c r="D99" s="46">
        <v>12773</v>
      </c>
      <c r="E99" s="46" t="str">
        <f>IFERROR(INDEX('Prior Year Data Pull'!$A$1:$CB$593,MATCH(C99,'Prior Year Data Pull'!$A$1:$A$593,0),MATCH("Organization Type",'Prior Year Data Pull'!$A$1:$CB$1,0)),"")</f>
        <v>HHS</v>
      </c>
      <c r="F99" s="46" t="str">
        <f>IFERROR(INDEX('Static Data Tab'!$E$2:$E$610,MATCH(C99,'Static Data Tab'!$B$2:$B$610,0)), "-")</f>
        <v>-</v>
      </c>
      <c r="G99" s="46" t="str">
        <f>IFERROR(INDEX('Static Data Tab'!$J$2:$J$610,MATCH(C99,'Static Data Tab'!$B$2:$B$610,0)), "")</f>
        <v/>
      </c>
      <c r="H99" s="46" t="str">
        <f>IFERROR(INDEX('Static Data Tab'!$F$2:$F$610,MATCH(C99,'Static Data Tab'!$B$2:$B$610,0)), "")</f>
        <v/>
      </c>
      <c r="I99" s="46" t="str">
        <f>IFERROR(INDEX('Static Data Tab'!$G$2:$G$610,MATCH(C99,'Static Data Tab'!$B$2:$B$610,0)), "")</f>
        <v/>
      </c>
      <c r="J99" s="46" t="str">
        <f>IFERROR(INDEX('Prior Year Data Pull'!$A$2:$CB$593,MATCH(C99,'Prior Year Data Pull'!$A$2:$A$593,0),MATCH("Quarter Range",'Prior Year Data Pull'!$A$1:$CB$1,0)),"")</f>
        <v xml:space="preserve">10/01/2024-09/30/2025
</v>
      </c>
      <c r="K99" s="45">
        <f t="shared" si="13"/>
        <v>-4.9905943732551458E-2</v>
      </c>
      <c r="L99" s="45">
        <f t="shared" si="14"/>
        <v>0.12591843580134562</v>
      </c>
      <c r="M99" s="45">
        <f t="shared" si="15"/>
        <v>7.6012492068794152E-2</v>
      </c>
      <c r="N99" s="47">
        <f t="shared" si="16"/>
        <v>28883590</v>
      </c>
      <c r="O99" s="265">
        <f t="shared" si="17"/>
        <v>1.927027081206895</v>
      </c>
      <c r="P99" s="47">
        <f>IFERROR(INDEX('Prior Year Data Pull'!$A$2:$CB$593,MATCH('Prior Year Data Table'!$C99,'Prior Year Data Pull'!$A$2:$A$593,0),MATCH("Total Net Assets or Equity",'Prior Year Data Pull'!$A$1:$CB$1,0)),"")</f>
        <v>695906973</v>
      </c>
      <c r="Q99" s="47">
        <f>IFERROR(INDEX('Prior Year Data Pull'!$A$2:$CB$593,MATCH('Prior Year Data Table'!$C99,'Prior Year Data Pull'!$A$2:$A$593,0),MATCH("Total Operating Revenue",'Prior Year Data Pull'!$A$1:$CB$1,0)),"")</f>
        <v>332137690</v>
      </c>
      <c r="R99" s="47">
        <f>IFERROR(INDEX('Prior Year Data Pull'!$A$2:$CB$593,MATCH('Prior Year Data Table'!$C99,'Prior Year Data Pull'!$A$2:$A$593,0),MATCH("Total Unrestricted Revenue Gains and Other Support",'Prior Year Data Pull'!$A$1:$CB$1,0)),"")</f>
        <v>379984779</v>
      </c>
      <c r="S99" s="47">
        <f>IFERROR(INDEX('Prior Year TS Data Pull'!$K$2:$K$607,MATCH(C99,'Prior Year TS Data Pull'!$A$2:$A$607,0))+INDEX('Prior Year TS Data Pull'!$O$2:$O$119,MATCH(C99,'Prior Year TS Data Pull'!$A$2:$A$607,0))+INDEX('Prior Year TS Data Pull'!$S$2:$S$119,MATCH(C99,'Prior Year TS Data Pull'!$A$2:$A$607,0)),"")</f>
        <v>347574.44</v>
      </c>
      <c r="T99" s="47">
        <f>IF(INDEX('Prior Year TS Data Pull'!$A$1:$O$607,MATCH(C99,'Prior Year TS Data Pull'!$A$1:$A$607,0),MATCH("Temporary RN Staffing:
Line Reported on in Standardized Financials",'Prior Year TS Data Pull'!$A$1:$O$1,0))="66.1: Salary and Benefit Expense",'Prior Year Data Table'!$AV99-'Prior Year Data Table'!$S99,0)</f>
        <v>0</v>
      </c>
      <c r="U99" s="47">
        <f>IFERROR(INDEX('Prior Year Data Pull'!$A$2:$CB$593,MATCH(C99,'Prior Year Data Pull'!$A$2:$A$593,0),MATCH("Total Expenses Including Nonrecurring Gains Losses",'Prior Year Data Pull'!$A$1:$CB$1,0)),"")</f>
        <v>351101189</v>
      </c>
      <c r="V99" s="266">
        <f t="shared" si="18"/>
        <v>14.1029379104382</v>
      </c>
      <c r="W99" s="266">
        <f t="shared" si="19"/>
        <v>37.564947728997971</v>
      </c>
      <c r="X99" s="266">
        <f t="shared" si="20"/>
        <v>38.742813421825815</v>
      </c>
      <c r="Y99" s="45">
        <f t="shared" si="21"/>
        <v>0.85156403949390269</v>
      </c>
      <c r="Z99" s="266">
        <f t="shared" si="22"/>
        <v>29.10411526826579</v>
      </c>
      <c r="AA99" s="265">
        <f t="shared" si="23"/>
        <v>0.85156403949390269</v>
      </c>
      <c r="AB99" s="45">
        <f t="shared" si="24"/>
        <v>0.86558186095921874</v>
      </c>
      <c r="AC99" s="45">
        <f t="shared" si="25"/>
        <v>6.6560609153411443E-2</v>
      </c>
      <c r="AD99" s="47">
        <f>IFERROR(INDEX('Prior Year Data Pull'!$A$2:$CB$593,MATCH(C99,'Prior Year Data Pull'!$A$2:$A$593,0),MATCH("Net Patient Service Revenue",'Prior Year Data Pull'!$A$1:$CB$1,0)),"")</f>
        <v>317138841</v>
      </c>
      <c r="AE99" s="47">
        <f>IFERROR(INDEX('Prior Year Data Pull'!$A$2:$CB$593,MATCH(C99,'Prior Year Data Pull'!$A$2:$A$593,0),MATCH("Total Current Assets",'Prior Year Data Pull'!$A$1:$CB$1,0)),"")</f>
        <v>73249240</v>
      </c>
      <c r="AF99" s="47">
        <f>IFERROR(INDEX('Prior Year Data Pull'!$A$2:$CB$593,MATCH(C99,'Prior Year Data Pull'!$A$2:$A$593,0),MATCH("Total Current Liabilities",'Prior Year Data Pull'!$A$1:$CB$1,0)),"")</f>
        <v>38011526</v>
      </c>
      <c r="AG99" s="47">
        <f>IFERROR(INDEX('Prior Year Data Pull'!$A$2:$CB$593,MATCH(C99,'Prior Year Data Pull'!$A$2:$A$593,0),MATCH("Total Non Operating Revenue",'Prior Year Data Pull'!$A$1:$CB$1,0)),"")</f>
        <v>47847089</v>
      </c>
      <c r="AH99" s="47">
        <f>IFERROR(INDEX('Prior Year Data Pull'!$A$2:$CB$593,MATCH(C99,'Prior Year Data Pull'!$A$2:$A$593,0),MATCH("Less Accumulated Depreciation",'Prior Year Data Pull'!$A$1:$CB$1,0)),"")</f>
        <v>180533189</v>
      </c>
      <c r="AI99" s="47">
        <f>IFERROR(INDEX('Prior Year Data Pull'!$A$2:$CB$593,MATCH(C99,'Prior Year Data Pull'!$A$2:$A$593,0),MATCH("Depreciation and Amortization Expense",'Prior Year Data Pull'!$A$1:$CB$1,0)),"")</f>
        <v>12801105</v>
      </c>
      <c r="AJ99" s="47">
        <f>IFERROR(INDEX('Prior Year Data Pull'!$A$2:$CB$593,MATCH(C99,'Prior Year Data Pull'!$A$2:$A$593,0),MATCH("Net Patient Accounts Receivable",'Prior Year Data Pull'!$A$1:$CB$1,0)),"")</f>
        <v>32639189</v>
      </c>
      <c r="AK99" s="46">
        <v>365</v>
      </c>
      <c r="AL99" s="47">
        <f>IFERROR(INDEX('Prior Year Data Pull'!$A$2:$CB$593,MATCH(C99,'Prior Year Data Pull'!$A$2:$A$593,0),MATCH("Estimated Third Party Settlements",'Prior Year Data Pull'!$A$1:$CB$1,0)),"")</f>
        <v>2102767</v>
      </c>
      <c r="AM99" s="47">
        <f>IFERROR(INDEX('Prior Year Data Pull'!$A$2:$CB$593,MATCH(C99,'Prior Year Data Pull'!$A$2:$A$593,0),MATCH("Current Liabilities due to Affiliates",'Prior Year Data Pull'!$A$1:$CB$1,0)),"")</f>
        <v>0</v>
      </c>
      <c r="AN99" s="47">
        <f>IFERROR(INDEX('Prior Year Data Pull'!$A$2:$CB$593,MATCH(C99,'Prior Year Data Pull'!$A$2:$A$593,0),MATCH("Short Term Investments",'Prior Year Data Pull'!$A$1:$CB$1,0)),"")</f>
        <v>0</v>
      </c>
      <c r="AO99" s="47">
        <f>IFERROR(INDEX('Prior Year Data Pull'!$A$2:$CB$593,MATCH(C99,'Prior Year Data Pull'!$A$2:$A$593,0),MATCH("Cash and Cash Equivalents",'Prior Year Data Pull'!$A$1:$CB$1,0)),"")</f>
        <v>26975136</v>
      </c>
      <c r="AP99" s="47">
        <f>IFERROR(INDEX('Prior Year Data Pull'!$A$2:$CB$593,MATCH(C99,'Prior Year Data Pull'!$A$2:$A$593,0),MATCH("Interest Expense",'Prior Year Data Pull'!$A$1:$CB$1,0)),"")</f>
        <v>0</v>
      </c>
      <c r="AQ99" s="47">
        <f>IFERROR(INDEX('Prior Year Data Pull'!$A$2:$CB$593,MATCH(C99,'Prior Year Data Pull'!$A$2:$A$593,0),MATCH("Long Term Debt Net of Current Portion",'Prior Year Data Pull'!$A$1:$CB$1,0)),"")</f>
        <v>48950746</v>
      </c>
      <c r="AR99" s="47">
        <f>IFERROR(INDEX('Prior Year Data Pull'!$A$2:$CB$593,MATCH(C99,'Prior Year Data Pull'!$A$2:$A$593,0),MATCH("Total Assets",'Prior Year Data Pull'!$A$1:$CB$1,0)),"")</f>
        <v>803975920</v>
      </c>
      <c r="AS99" s="47">
        <f>IFERROR(INDEX('Prior Year Data Pull'!$A$2:$CB$593,MATCH(C99,'Prior Year Data Pull'!$A$2:$A$593,0),MATCH("Long Term Debt Net of Current Portion",'Prior Year Data Pull'!$A$1:$CB$1,0)),"")</f>
        <v>48950746</v>
      </c>
      <c r="AT99" s="47">
        <f>IFERROR(INDEX('Prior Year Data Pull'!$A$2:$CB$593,MATCH(C99,'Prior Year Data Pull'!$A$2:$A$593,0),MATCH("Net Unrestricted Assets",'Prior Year Data Pull'!$A$1:$CB$1,0)),"")</f>
        <v>686480414</v>
      </c>
      <c r="AU99" s="47">
        <f>IFERROR(INDEX('Prior Year Data Pull'!$A$2:$CB$593,MATCH(C99,'Prior Year Data Pull'!$A$2:$A$593,0),MATCH("Unrealized Gains/Losses",'Prior Year Data Pull'!$A$1:$CB$1,0)),"")</f>
        <v>0</v>
      </c>
      <c r="AV99" s="47">
        <f>IFERROR(INDEX('Prior Year Data Pull'!$A$2:$CB$593,MATCH(C99,'Prior Year Data Pull'!$A$2:$A$593,0),MATCH("Salary and Benefit Expense",'Prior Year Data Pull'!$A$1:$CB$1,0)),"")</f>
        <v>226084500</v>
      </c>
    </row>
    <row r="100" spans="1:48" ht="34.200000000000003" x14ac:dyDescent="0.3">
      <c r="A100" s="14" t="str">
        <f>IFERROR(INDEX('Static Data Tab'!$N$2:$N$610,MATCH(D100,'Static Data Tab'!$D$2:$D$610,0)), "")</f>
        <v>Boston Medical Center Health System</v>
      </c>
      <c r="B100" s="14" t="s">
        <v>119</v>
      </c>
      <c r="C100" s="14">
        <v>13198</v>
      </c>
      <c r="D100" s="14">
        <v>14287</v>
      </c>
      <c r="E100" s="14" t="str">
        <f>IFERROR(INDEX('Prior Year Data Pull'!$A$1:$CB$593,MATCH(C100,'Prior Year Data Pull'!$A$1:$A$593,0),MATCH("Organization Type",'Prior Year Data Pull'!$A$1:$CB$1,0)),"")</f>
        <v>PhysicianOrganization</v>
      </c>
      <c r="F100" s="14" t="str">
        <f>IFERROR(INDEX('Static Data Tab'!$E$2:$E$610,MATCH(C100,'Static Data Tab'!$B$2:$B$610,0)), "-")</f>
        <v>-</v>
      </c>
      <c r="G100" s="14" t="str">
        <f>IFERROR(INDEX('Static Data Tab'!$J$2:$J$610,MATCH(C100,'Static Data Tab'!$B$2:$B$610,0)), "")</f>
        <v/>
      </c>
      <c r="H100" s="14" t="str">
        <f>IFERROR(INDEX('Static Data Tab'!$F$2:$F$610,MATCH(C100,'Static Data Tab'!$B$2:$B$610,0)), "")</f>
        <v/>
      </c>
      <c r="I100" s="14" t="str">
        <f>IFERROR(INDEX('Static Data Tab'!$G$2:$G$610,MATCH(C100,'Static Data Tab'!$B$2:$B$610,0)), "")</f>
        <v/>
      </c>
      <c r="J100" s="14" t="str">
        <f>IFERROR(INDEX('Prior Year Data Pull'!$A$2:$CB$593,MATCH(C100,'Prior Year Data Pull'!$A$2:$A$593,0),MATCH("Quarter Range",'Prior Year Data Pull'!$A$1:$CB$1,0)),"")</f>
        <v xml:space="preserve">10/01/2024-09/30/2025
</v>
      </c>
      <c r="K100" s="37">
        <f t="shared" si="13"/>
        <v>-1.6582794147159963E-3</v>
      </c>
      <c r="L100" s="37">
        <f t="shared" si="14"/>
        <v>0</v>
      </c>
      <c r="M100" s="37">
        <f t="shared" si="15"/>
        <v>-1.6582794147159963E-3</v>
      </c>
      <c r="N100" s="38">
        <f t="shared" si="16"/>
        <v>-333023</v>
      </c>
      <c r="O100" s="39" t="str">
        <f t="shared" si="17"/>
        <v/>
      </c>
      <c r="P100" s="38">
        <f>IFERROR(INDEX('Prior Year Data Pull'!$A$2:$CB$593,MATCH('Prior Year Data Table'!$C100,'Prior Year Data Pull'!$A$2:$A$593,0),MATCH("Total Net Assets or Equity",'Prior Year Data Pull'!$A$1:$CB$1,0)),"")</f>
        <v>0</v>
      </c>
      <c r="Q100" s="38">
        <f>IFERROR(INDEX('Prior Year Data Pull'!$A$2:$CB$593,MATCH('Prior Year Data Table'!$C100,'Prior Year Data Pull'!$A$2:$A$593,0),MATCH("Total Operating Revenue",'Prior Year Data Pull'!$A$1:$CB$1,0)),"")</f>
        <v>200824419</v>
      </c>
      <c r="R100" s="38">
        <f>IFERROR(INDEX('Prior Year Data Pull'!$A$2:$CB$593,MATCH('Prior Year Data Table'!$C100,'Prior Year Data Pull'!$A$2:$A$593,0),MATCH("Total Unrestricted Revenue Gains and Other Support",'Prior Year Data Pull'!$A$1:$CB$1,0)),"")</f>
        <v>200824419</v>
      </c>
      <c r="S100" s="38">
        <f>IFERROR(INDEX('Prior Year TS Data Pull'!$K$2:$K$607,MATCH(C100,'Prior Year TS Data Pull'!$A$2:$A$607,0))+INDEX('Prior Year TS Data Pull'!$O$2:$O$119,MATCH(C100,'Prior Year TS Data Pull'!$A$2:$A$607,0))+INDEX('Prior Year TS Data Pull'!$S$2:$S$119,MATCH(C100,'Prior Year TS Data Pull'!$A$2:$A$607,0)),"")</f>
        <v>0</v>
      </c>
      <c r="T100" s="38">
        <f>IF(INDEX('Prior Year TS Data Pull'!$A$1:$O$607,MATCH(C100,'Prior Year TS Data Pull'!$A$1:$A$607,0),MATCH("Temporary RN Staffing:
Line Reported on in Standardized Financials",'Prior Year TS Data Pull'!$A$1:$O$1,0))="66.1: Salary and Benefit Expense",'Prior Year Data Table'!$AV100-'Prior Year Data Table'!$S100,0)</f>
        <v>0</v>
      </c>
      <c r="U100" s="38">
        <f>IFERROR(INDEX('Prior Year Data Pull'!$A$2:$CB$593,MATCH(C100,'Prior Year Data Pull'!$A$2:$A$593,0),MATCH("Total Expenses Including Nonrecurring Gains Losses",'Prior Year Data Pull'!$A$1:$CB$1,0)),"")</f>
        <v>201157442</v>
      </c>
      <c r="V100" s="41" t="str">
        <f t="shared" si="18"/>
        <v/>
      </c>
      <c r="W100" s="41">
        <f t="shared" si="19"/>
        <v>0</v>
      </c>
      <c r="X100" s="41">
        <f t="shared" si="20"/>
        <v>0</v>
      </c>
      <c r="Y100" s="37" t="str">
        <f t="shared" si="21"/>
        <v/>
      </c>
      <c r="Z100" s="41">
        <f t="shared" si="22"/>
        <v>0</v>
      </c>
      <c r="AA100" s="39" t="str">
        <f t="shared" si="23"/>
        <v/>
      </c>
      <c r="AB100" s="37" t="str">
        <f t="shared" si="24"/>
        <v/>
      </c>
      <c r="AC100" s="37" t="str">
        <f t="shared" si="25"/>
        <v/>
      </c>
      <c r="AD100" s="38">
        <f>IFERROR(INDEX('Prior Year Data Pull'!$A$2:$CB$593,MATCH(C100,'Prior Year Data Pull'!$A$2:$A$593,0),MATCH("Net Patient Service Revenue",'Prior Year Data Pull'!$A$1:$CB$1,0)),"")</f>
        <v>76159181</v>
      </c>
      <c r="AE100" s="38">
        <f>IFERROR(INDEX('Prior Year Data Pull'!$A$2:$CB$593,MATCH(C100,'Prior Year Data Pull'!$A$2:$A$593,0),MATCH("Total Current Assets",'Prior Year Data Pull'!$A$1:$CB$1,0)),"")</f>
        <v>0</v>
      </c>
      <c r="AF100" s="38">
        <f>IFERROR(INDEX('Prior Year Data Pull'!$A$2:$CB$593,MATCH(C100,'Prior Year Data Pull'!$A$2:$A$593,0),MATCH("Total Current Liabilities",'Prior Year Data Pull'!$A$1:$CB$1,0)),"")</f>
        <v>0</v>
      </c>
      <c r="AG100" s="38">
        <f>IFERROR(INDEX('Prior Year Data Pull'!$A$2:$CB$593,MATCH(C100,'Prior Year Data Pull'!$A$2:$A$593,0),MATCH("Total Non Operating Revenue",'Prior Year Data Pull'!$A$1:$CB$1,0)),"")</f>
        <v>0</v>
      </c>
      <c r="AH100" s="38">
        <f>IFERROR(INDEX('Prior Year Data Pull'!$A$2:$CB$593,MATCH(C100,'Prior Year Data Pull'!$A$2:$A$593,0),MATCH("Less Accumulated Depreciation",'Prior Year Data Pull'!$A$1:$CB$1,0)),"")</f>
        <v>0</v>
      </c>
      <c r="AI100" s="38">
        <f>IFERROR(INDEX('Prior Year Data Pull'!$A$2:$CB$593,MATCH(C100,'Prior Year Data Pull'!$A$2:$A$593,0),MATCH("Depreciation and Amortization Expense",'Prior Year Data Pull'!$A$1:$CB$1,0)),"")</f>
        <v>0</v>
      </c>
      <c r="AJ100" s="38">
        <f>IFERROR(INDEX('Prior Year Data Pull'!$A$2:$CB$593,MATCH(C100,'Prior Year Data Pull'!$A$2:$A$593,0),MATCH("Net Patient Accounts Receivable",'Prior Year Data Pull'!$A$1:$CB$1,0)),"")</f>
        <v>0</v>
      </c>
      <c r="AK100" s="14">
        <v>365</v>
      </c>
      <c r="AL100" s="38">
        <f>IFERROR(INDEX('Prior Year Data Pull'!$A$2:$CB$593,MATCH(C100,'Prior Year Data Pull'!$A$2:$A$593,0),MATCH("Estimated Third Party Settlements",'Prior Year Data Pull'!$A$1:$CB$1,0)),"")</f>
        <v>0</v>
      </c>
      <c r="AM100" s="38">
        <f>IFERROR(INDEX('Prior Year Data Pull'!$A$2:$CB$593,MATCH(C100,'Prior Year Data Pull'!$A$2:$A$593,0),MATCH("Current Liabilities due to Affiliates",'Prior Year Data Pull'!$A$1:$CB$1,0)),"")</f>
        <v>0</v>
      </c>
      <c r="AN100" s="38">
        <f>IFERROR(INDEX('Prior Year Data Pull'!$A$2:$CB$593,MATCH(C100,'Prior Year Data Pull'!$A$2:$A$593,0),MATCH("Short Term Investments",'Prior Year Data Pull'!$A$1:$CB$1,0)),"")</f>
        <v>0</v>
      </c>
      <c r="AO100" s="38">
        <f>IFERROR(INDEX('Prior Year Data Pull'!$A$2:$CB$593,MATCH(C100,'Prior Year Data Pull'!$A$2:$A$593,0),MATCH("Cash and Cash Equivalents",'Prior Year Data Pull'!$A$1:$CB$1,0)),"")</f>
        <v>0</v>
      </c>
      <c r="AP100" s="38">
        <f>IFERROR(INDEX('Prior Year Data Pull'!$A$2:$CB$593,MATCH(C100,'Prior Year Data Pull'!$A$2:$A$593,0),MATCH("Interest Expense",'Prior Year Data Pull'!$A$1:$CB$1,0)),"")</f>
        <v>0</v>
      </c>
      <c r="AQ100" s="38">
        <f>IFERROR(INDEX('Prior Year Data Pull'!$A$2:$CB$593,MATCH(C100,'Prior Year Data Pull'!$A$2:$A$593,0),MATCH("Long Term Debt Net of Current Portion",'Prior Year Data Pull'!$A$1:$CB$1,0)),"")</f>
        <v>0</v>
      </c>
      <c r="AR100" s="38">
        <f>IFERROR(INDEX('Prior Year Data Pull'!$A$2:$CB$593,MATCH(C100,'Prior Year Data Pull'!$A$2:$A$593,0),MATCH("Total Assets",'Prior Year Data Pull'!$A$1:$CB$1,0)),"")</f>
        <v>0</v>
      </c>
      <c r="AS100" s="38">
        <f>IFERROR(INDEX('Prior Year Data Pull'!$A$2:$CB$593,MATCH(C100,'Prior Year Data Pull'!$A$2:$A$593,0),MATCH("Long Term Debt Net of Current Portion",'Prior Year Data Pull'!$A$1:$CB$1,0)),"")</f>
        <v>0</v>
      </c>
      <c r="AT100" s="38">
        <f>IFERROR(INDEX('Prior Year Data Pull'!$A$2:$CB$593,MATCH(C100,'Prior Year Data Pull'!$A$2:$A$593,0),MATCH("Net Unrestricted Assets",'Prior Year Data Pull'!$A$1:$CB$1,0)),"")</f>
        <v>0</v>
      </c>
      <c r="AU100" s="38">
        <f>IFERROR(INDEX('Prior Year Data Pull'!$A$2:$CB$593,MATCH(C100,'Prior Year Data Pull'!$A$2:$A$593,0),MATCH("Unrealized Gains/Losses",'Prior Year Data Pull'!$A$1:$CB$1,0)),"")</f>
        <v>0</v>
      </c>
      <c r="AV100" s="38">
        <f>IFERROR(INDEX('Prior Year Data Pull'!$A$2:$CB$593,MATCH(C100,'Prior Year Data Pull'!$A$2:$A$593,0),MATCH("Salary and Benefit Expense",'Prior Year Data Pull'!$A$1:$CB$1,0)),"")</f>
        <v>180987283</v>
      </c>
    </row>
    <row r="101" spans="1:48" ht="34.200000000000003" x14ac:dyDescent="0.3">
      <c r="A101" s="46" t="str">
        <f>IFERROR(INDEX('Static Data Tab'!$N$2:$N$610,MATCH(D101,'Static Data Tab'!$D$2:$D$610,0)), "")</f>
        <v>Trinity Health</v>
      </c>
      <c r="B101" s="46" t="s">
        <v>183</v>
      </c>
      <c r="C101" s="46">
        <v>14288</v>
      </c>
      <c r="D101" s="46">
        <v>14288</v>
      </c>
      <c r="E101" s="46" t="str">
        <f>IFERROR(INDEX('Prior Year Data Pull'!$A$1:$CB$593,MATCH(C101,'Prior Year Data Pull'!$A$1:$A$593,0),MATCH("Organization Type",'Prior Year Data Pull'!$A$1:$CB$1,0)),"")</f>
        <v>HHS</v>
      </c>
      <c r="F101" s="46" t="str">
        <f>IFERROR(INDEX('Static Data Tab'!$E$2:$E$610,MATCH(C101,'Static Data Tab'!$B$2:$B$610,0)), "-")</f>
        <v>-</v>
      </c>
      <c r="G101" s="46" t="str">
        <f>IFERROR(INDEX('Static Data Tab'!$J$2:$J$610,MATCH(C101,'Static Data Tab'!$B$2:$B$610,0)), "")</f>
        <v/>
      </c>
      <c r="H101" s="46" t="str">
        <f>IFERROR(INDEX('Static Data Tab'!$F$2:$F$610,MATCH(C101,'Static Data Tab'!$B$2:$B$610,0)), "")</f>
        <v/>
      </c>
      <c r="I101" s="46" t="str">
        <f>IFERROR(INDEX('Static Data Tab'!$G$2:$G$610,MATCH(C101,'Static Data Tab'!$B$2:$B$610,0)), "")</f>
        <v/>
      </c>
      <c r="J101" s="46" t="str">
        <f>IFERROR(INDEX('Prior Year Data Pull'!$A$2:$CB$593,MATCH(C101,'Prior Year Data Pull'!$A$2:$A$593,0),MATCH("Quarter Range",'Prior Year Data Pull'!$A$1:$CB$1,0)),"")</f>
        <v xml:space="preserve">07/01/2024-06/30/2025
</v>
      </c>
      <c r="K101" s="45">
        <f t="shared" si="13"/>
        <v>-4.5843598105130013E-4</v>
      </c>
      <c r="L101" s="45">
        <f t="shared" si="14"/>
        <v>4.8588534754322329E-2</v>
      </c>
      <c r="M101" s="45">
        <f t="shared" si="15"/>
        <v>4.8130098773271027E-2</v>
      </c>
      <c r="N101" s="47">
        <f t="shared" si="16"/>
        <v>1286034411</v>
      </c>
      <c r="O101" s="265">
        <f t="shared" si="17"/>
        <v>2.339481367013625</v>
      </c>
      <c r="P101" s="47">
        <f>IFERROR(INDEX('Prior Year Data Pull'!$A$2:$CB$593,MATCH('Prior Year Data Table'!$C101,'Prior Year Data Pull'!$A$2:$A$593,0),MATCH("Total Net Assets or Equity",'Prior Year Data Pull'!$A$1:$CB$1,0)),"")</f>
        <v>20376211015</v>
      </c>
      <c r="Q101" s="47">
        <f>IFERROR(INDEX('Prior Year Data Pull'!$A$2:$CB$593,MATCH('Prior Year Data Table'!$C101,'Prior Year Data Pull'!$A$2:$A$593,0),MATCH("Total Operating Revenue",'Prior Year Data Pull'!$A$1:$CB$1,0)),"")</f>
        <v>25421678212</v>
      </c>
      <c r="R101" s="47">
        <f>IFERROR(INDEX('Prior Year Data Pull'!$A$2:$CB$593,MATCH('Prior Year Data Table'!$C101,'Prior Year Data Pull'!$A$2:$A$593,0),MATCH("Total Unrestricted Revenue Gains and Other Support",'Prior Year Data Pull'!$A$1:$CB$1,0)),"")</f>
        <v>26719962015</v>
      </c>
      <c r="S101" s="47">
        <f>IFERROR(INDEX('Prior Year TS Data Pull'!$K$2:$K$607,MATCH(C101,'Prior Year TS Data Pull'!$A$2:$A$607,0))+INDEX('Prior Year TS Data Pull'!$O$2:$O$119,MATCH(C101,'Prior Year TS Data Pull'!$A$2:$A$607,0))+INDEX('Prior Year TS Data Pull'!$S$2:$S$119,MATCH(C101,'Prior Year TS Data Pull'!$A$2:$A$607,0)),"")</f>
        <v>33179717</v>
      </c>
      <c r="T101" s="47">
        <f>IF(INDEX('Prior Year TS Data Pull'!$A$1:$O$607,MATCH(C101,'Prior Year TS Data Pull'!$A$1:$A$607,0),MATCH("Temporary RN Staffing:
Line Reported on in Standardized Financials",'Prior Year TS Data Pull'!$A$1:$O$1,0))="66.1: Salary and Benefit Expense",'Prior Year Data Table'!$AV101-'Prior Year Data Table'!$S101,0)</f>
        <v>13564796447</v>
      </c>
      <c r="U101" s="47">
        <f>IFERROR(INDEX('Prior Year Data Pull'!$A$2:$CB$593,MATCH(C101,'Prior Year Data Pull'!$A$2:$A$593,0),MATCH("Total Expenses Including Nonrecurring Gains Losses",'Prior Year Data Pull'!$A$1:$CB$1,0)),"")</f>
        <v>25433927604</v>
      </c>
      <c r="V101" s="266">
        <f t="shared" si="18"/>
        <v>13.276004817233028</v>
      </c>
      <c r="W101" s="266">
        <f t="shared" si="19"/>
        <v>47.400819456122136</v>
      </c>
      <c r="X101" s="266">
        <f t="shared" si="20"/>
        <v>75.758381145818134</v>
      </c>
      <c r="Y101" s="45">
        <f t="shared" si="21"/>
        <v>0.20022039052030449</v>
      </c>
      <c r="Z101" s="266">
        <f t="shared" si="22"/>
        <v>100.87310115149521</v>
      </c>
      <c r="AA101" s="265">
        <f t="shared" si="23"/>
        <v>0.23150867728062752</v>
      </c>
      <c r="AB101" s="45">
        <f t="shared" si="24"/>
        <v>0.58639807539479605</v>
      </c>
      <c r="AC101" s="45">
        <f t="shared" si="25"/>
        <v>0.24453770132432148</v>
      </c>
      <c r="AD101" s="47">
        <f>IFERROR(INDEX('Prior Year Data Pull'!$A$2:$CB$593,MATCH(C101,'Prior Year Data Pull'!$A$2:$A$593,0),MATCH("Net Patient Service Revenue",'Prior Year Data Pull'!$A$1:$CB$1,0)),"")</f>
        <v>21635098111</v>
      </c>
      <c r="AE101" s="47">
        <f>IFERROR(INDEX('Prior Year Data Pull'!$A$2:$CB$593,MATCH(C101,'Prior Year Data Pull'!$A$2:$A$593,0),MATCH("Total Current Assets",'Prior Year Data Pull'!$A$1:$CB$1,0)),"")</f>
        <v>12516045253</v>
      </c>
      <c r="AF101" s="47">
        <f>IFERROR(INDEX('Prior Year Data Pull'!$A$2:$CB$593,MATCH(C101,'Prior Year Data Pull'!$A$2:$A$593,0),MATCH("Total Current Liabilities",'Prior Year Data Pull'!$A$1:$CB$1,0)),"")</f>
        <v>5349923034</v>
      </c>
      <c r="AG101" s="47">
        <f>IFERROR(INDEX('Prior Year Data Pull'!$A$2:$CB$593,MATCH(C101,'Prior Year Data Pull'!$A$2:$A$593,0),MATCH("Total Non Operating Revenue",'Prior Year Data Pull'!$A$1:$CB$1,0)),"")</f>
        <v>1298283803</v>
      </c>
      <c r="AH101" s="47">
        <f>IFERROR(INDEX('Prior Year Data Pull'!$A$2:$CB$593,MATCH(C101,'Prior Year Data Pull'!$A$2:$A$593,0),MATCH("Less Accumulated Depreciation",'Prior Year Data Pull'!$A$1:$CB$1,0)),"")</f>
        <v>11788180256</v>
      </c>
      <c r="AI101" s="47">
        <f>IFERROR(INDEX('Prior Year Data Pull'!$A$2:$CB$593,MATCH(C101,'Prior Year Data Pull'!$A$2:$A$593,0),MATCH("Depreciation and Amortization Expense",'Prior Year Data Pull'!$A$1:$CB$1,0)),"")</f>
        <v>887931303</v>
      </c>
      <c r="AJ101" s="47">
        <f>IFERROR(INDEX('Prior Year Data Pull'!$A$2:$CB$593,MATCH(C101,'Prior Year Data Pull'!$A$2:$A$593,0),MATCH("Net Patient Accounts Receivable",'Prior Year Data Pull'!$A$1:$CB$1,0)),"")</f>
        <v>2809647615</v>
      </c>
      <c r="AK101" s="46">
        <v>365</v>
      </c>
      <c r="AL101" s="47">
        <f>IFERROR(INDEX('Prior Year Data Pull'!$A$2:$CB$593,MATCH(C101,'Prior Year Data Pull'!$A$2:$A$593,0),MATCH("Estimated Third Party Settlements",'Prior Year Data Pull'!$A$1:$CB$1,0)),"")</f>
        <v>255224559</v>
      </c>
      <c r="AM101" s="47">
        <f>IFERROR(INDEX('Prior Year Data Pull'!$A$2:$CB$593,MATCH(C101,'Prior Year Data Pull'!$A$2:$A$593,0),MATCH("Current Liabilities due to Affiliates",'Prior Year Data Pull'!$A$1:$CB$1,0)),"")</f>
        <v>0</v>
      </c>
      <c r="AN101" s="47">
        <f>IFERROR(INDEX('Prior Year Data Pull'!$A$2:$CB$593,MATCH(C101,'Prior Year Data Pull'!$A$2:$A$593,0),MATCH("Short Term Investments",'Prior Year Data Pull'!$A$1:$CB$1,0)),"")</f>
        <v>6213750569</v>
      </c>
      <c r="AO101" s="47">
        <f>IFERROR(INDEX('Prior Year Data Pull'!$A$2:$CB$593,MATCH(C101,'Prior Year Data Pull'!$A$2:$A$593,0),MATCH("Cash and Cash Equivalents",'Prior Year Data Pull'!$A$1:$CB$1,0)),"")</f>
        <v>569895370</v>
      </c>
      <c r="AP101" s="47">
        <f>IFERROR(INDEX('Prior Year Data Pull'!$A$2:$CB$593,MATCH(C101,'Prior Year Data Pull'!$A$2:$A$593,0),MATCH("Interest Expense",'Prior Year Data Pull'!$A$1:$CB$1,0)),"")</f>
        <v>259304895</v>
      </c>
      <c r="AQ101" s="47">
        <f>IFERROR(INDEX('Prior Year Data Pull'!$A$2:$CB$593,MATCH(C101,'Prior Year Data Pull'!$A$2:$A$593,0),MATCH("Long Term Debt Net of Current Portion",'Prior Year Data Pull'!$A$1:$CB$1,0)),"")</f>
        <v>6368950888</v>
      </c>
      <c r="AR101" s="47">
        <f>IFERROR(INDEX('Prior Year Data Pull'!$A$2:$CB$593,MATCH(C101,'Prior Year Data Pull'!$A$2:$A$593,0),MATCH("Total Assets",'Prior Year Data Pull'!$A$1:$CB$1,0)),"")</f>
        <v>34748086445</v>
      </c>
      <c r="AS101" s="47">
        <f>IFERROR(INDEX('Prior Year Data Pull'!$A$2:$CB$593,MATCH(C101,'Prior Year Data Pull'!$A$2:$A$593,0),MATCH("Long Term Debt Net of Current Portion",'Prior Year Data Pull'!$A$1:$CB$1,0)),"")</f>
        <v>6368950888</v>
      </c>
      <c r="AT101" s="47">
        <f>IFERROR(INDEX('Prior Year Data Pull'!$A$2:$CB$593,MATCH(C101,'Prior Year Data Pull'!$A$2:$A$593,0),MATCH("Net Unrestricted Assets",'Prior Year Data Pull'!$A$1:$CB$1,0)),"")</f>
        <v>19675911943</v>
      </c>
      <c r="AU101" s="47">
        <f>IFERROR(INDEX('Prior Year Data Pull'!$A$2:$CB$593,MATCH(C101,'Prior Year Data Pull'!$A$2:$A$593,0),MATCH("Unrealized Gains/Losses",'Prior Year Data Pull'!$A$1:$CB$1,0)),"")</f>
        <v>898771880</v>
      </c>
      <c r="AV101" s="47">
        <f>IFERROR(INDEX('Prior Year Data Pull'!$A$2:$CB$593,MATCH(C101,'Prior Year Data Pull'!$A$2:$A$593,0),MATCH("Salary and Benefit Expense",'Prior Year Data Pull'!$A$1:$CB$1,0)),"")</f>
        <v>13597976164</v>
      </c>
    </row>
    <row r="102" spans="1:48" ht="34.200000000000003" x14ac:dyDescent="0.3">
      <c r="A102" s="14" t="str">
        <f>IFERROR(INDEX('Static Data Tab'!$N$2:$N$610,MATCH(D102,'Static Data Tab'!$D$2:$D$610,0)), "")</f>
        <v>Tufts Medicine</v>
      </c>
      <c r="B102" s="14" t="s">
        <v>190</v>
      </c>
      <c r="C102" s="14">
        <v>12775</v>
      </c>
      <c r="D102" s="14">
        <v>12775</v>
      </c>
      <c r="E102" s="14" t="str">
        <f>IFERROR(INDEX('Prior Year Data Pull'!$A$1:$CB$593,MATCH(C102,'Prior Year Data Pull'!$A$1:$A$593,0),MATCH("Organization Type",'Prior Year Data Pull'!$A$1:$CB$1,0)),"")</f>
        <v>HHS</v>
      </c>
      <c r="F102" s="14" t="str">
        <f>IFERROR(INDEX('Static Data Tab'!$E$2:$E$610,MATCH(C102,'Static Data Tab'!$B$2:$B$610,0)), "-")</f>
        <v>-</v>
      </c>
      <c r="G102" s="14" t="str">
        <f>IFERROR(INDEX('Static Data Tab'!$J$2:$J$610,MATCH(C102,'Static Data Tab'!$B$2:$B$610,0)), "")</f>
        <v/>
      </c>
      <c r="H102" s="14" t="str">
        <f>IFERROR(INDEX('Static Data Tab'!$F$2:$F$610,MATCH(C102,'Static Data Tab'!$B$2:$B$610,0)), "")</f>
        <v/>
      </c>
      <c r="I102" s="14" t="str">
        <f>IFERROR(INDEX('Static Data Tab'!$G$2:$G$610,MATCH(C102,'Static Data Tab'!$B$2:$B$610,0)), "")</f>
        <v/>
      </c>
      <c r="J102" s="14" t="str">
        <f>IFERROR(INDEX('Prior Year Data Pull'!$A$2:$CB$593,MATCH(C102,'Prior Year Data Pull'!$A$2:$A$593,0),MATCH("Quarter Range",'Prior Year Data Pull'!$A$1:$CB$1,0)),"")</f>
        <v xml:space="preserve">10/01/2024-09/30/2025
</v>
      </c>
      <c r="K102" s="37">
        <f t="shared" si="13"/>
        <v>-1.8624979522765119E-2</v>
      </c>
      <c r="L102" s="37">
        <f t="shared" si="14"/>
        <v>2.2209251097818359E-3</v>
      </c>
      <c r="M102" s="37">
        <f t="shared" si="15"/>
        <v>-1.6404054412983284E-2</v>
      </c>
      <c r="N102" s="38">
        <f t="shared" si="16"/>
        <v>-51570000</v>
      </c>
      <c r="O102" s="39">
        <f t="shared" si="17"/>
        <v>1.0583687680146114</v>
      </c>
      <c r="P102" s="38">
        <f>IFERROR(INDEX('Prior Year Data Pull'!$A$2:$CB$593,MATCH('Prior Year Data Table'!$C102,'Prior Year Data Pull'!$A$2:$A$593,0),MATCH("Total Net Assets or Equity",'Prior Year Data Pull'!$A$1:$CB$1,0)),"")</f>
        <v>190390000</v>
      </c>
      <c r="Q102" s="38">
        <f>IFERROR(INDEX('Prior Year Data Pull'!$A$2:$CB$593,MATCH('Prior Year Data Table'!$C102,'Prior Year Data Pull'!$A$2:$A$593,0),MATCH("Total Operating Revenue",'Prior Year Data Pull'!$A$1:$CB$1,0)),"")</f>
        <v>3136753000</v>
      </c>
      <c r="R102" s="38">
        <f>IFERROR(INDEX('Prior Year Data Pull'!$A$2:$CB$593,MATCH('Prior Year Data Table'!$C102,'Prior Year Data Pull'!$A$2:$A$593,0),MATCH("Total Unrestricted Revenue Gains and Other Support",'Prior Year Data Pull'!$A$1:$CB$1,0)),"")</f>
        <v>3143735000</v>
      </c>
      <c r="S102" s="38" t="str">
        <f>IFERROR(INDEX('Prior Year TS Data Pull'!$K$2:$K$607,MATCH(C102,'Prior Year TS Data Pull'!$A$2:$A$607,0))+INDEX('Prior Year TS Data Pull'!$O$2:$O$119,MATCH(C102,'Prior Year TS Data Pull'!$A$2:$A$607,0))+INDEX('Prior Year TS Data Pull'!$S$2:$S$119,MATCH(C102,'Prior Year TS Data Pull'!$A$2:$A$607,0)),"")</f>
        <v/>
      </c>
      <c r="T102" s="38" t="e">
        <f>IF(INDEX('Prior Year TS Data Pull'!$A$1:$O$607,MATCH(C102,'Prior Year TS Data Pull'!$A$1:$A$607,0),MATCH("Temporary RN Staffing:
Line Reported on in Standardized Financials",'Prior Year TS Data Pull'!$A$1:$O$1,0))="66.1: Salary and Benefit Expense",'Prior Year Data Table'!$AV102-'Prior Year Data Table'!$S102,0)</f>
        <v>#N/A</v>
      </c>
      <c r="U102" s="38">
        <f>IFERROR(INDEX('Prior Year Data Pull'!$A$2:$CB$593,MATCH(C102,'Prior Year Data Pull'!$A$2:$A$593,0),MATCH("Total Expenses Including Nonrecurring Gains Losses",'Prior Year Data Pull'!$A$1:$CB$1,0)),"")</f>
        <v>3195305000</v>
      </c>
      <c r="V102" s="41">
        <f t="shared" si="18"/>
        <v>18.073179913777398</v>
      </c>
      <c r="W102" s="41">
        <f t="shared" si="19"/>
        <v>46.044376542718368</v>
      </c>
      <c r="X102" s="41">
        <f t="shared" si="20"/>
        <v>80.879317434210535</v>
      </c>
      <c r="Y102" s="37">
        <f t="shared" si="21"/>
        <v>3.6048387455170056E-2</v>
      </c>
      <c r="Z102" s="41">
        <f t="shared" si="22"/>
        <v>14.939865915398849</v>
      </c>
      <c r="AA102" s="39">
        <f t="shared" si="23"/>
        <v>8.3911417451699624E-2</v>
      </c>
      <c r="AB102" s="37">
        <f t="shared" si="24"/>
        <v>9.4638196172817227E-2</v>
      </c>
      <c r="AC102" s="37">
        <f t="shared" si="25"/>
        <v>0.86528193562404221</v>
      </c>
      <c r="AD102" s="38">
        <f>IFERROR(INDEX('Prior Year Data Pull'!$A$2:$CB$593,MATCH(C102,'Prior Year Data Pull'!$A$2:$A$593,0),MATCH("Net Patient Service Revenue",'Prior Year Data Pull'!$A$1:$CB$1,0)),"")</f>
        <v>2511800000</v>
      </c>
      <c r="AE102" s="38">
        <f>IFERROR(INDEX('Prior Year Data Pull'!$A$2:$CB$593,MATCH(C102,'Prior Year Data Pull'!$A$2:$A$593,0),MATCH("Total Current Assets",'Prior Year Data Pull'!$A$1:$CB$1,0)),"")</f>
        <v>741726000</v>
      </c>
      <c r="AF102" s="38">
        <f>IFERROR(INDEX('Prior Year Data Pull'!$A$2:$CB$593,MATCH(C102,'Prior Year Data Pull'!$A$2:$A$593,0),MATCH("Total Current Liabilities",'Prior Year Data Pull'!$A$1:$CB$1,0)),"")</f>
        <v>700820000</v>
      </c>
      <c r="AG102" s="38">
        <f>IFERROR(INDEX('Prior Year Data Pull'!$A$2:$CB$593,MATCH(C102,'Prior Year Data Pull'!$A$2:$A$593,0),MATCH("Total Non Operating Revenue",'Prior Year Data Pull'!$A$1:$CB$1,0)),"")</f>
        <v>6982000</v>
      </c>
      <c r="AH102" s="38">
        <f>IFERROR(INDEX('Prior Year Data Pull'!$A$2:$CB$593,MATCH(C102,'Prior Year Data Pull'!$A$2:$A$593,0),MATCH("Less Accumulated Depreciation",'Prior Year Data Pull'!$A$1:$CB$1,0)),"")</f>
        <v>1488236000</v>
      </c>
      <c r="AI102" s="38">
        <f>IFERROR(INDEX('Prior Year Data Pull'!$A$2:$CB$593,MATCH(C102,'Prior Year Data Pull'!$A$2:$A$593,0),MATCH("Depreciation and Amortization Expense",'Prior Year Data Pull'!$A$1:$CB$1,0)),"")</f>
        <v>82345000</v>
      </c>
      <c r="AJ102" s="38">
        <f>IFERROR(INDEX('Prior Year Data Pull'!$A$2:$CB$593,MATCH(C102,'Prior Year Data Pull'!$A$2:$A$593,0),MATCH("Net Patient Accounts Receivable",'Prior Year Data Pull'!$A$1:$CB$1,0)),"")</f>
        <v>316861000</v>
      </c>
      <c r="AK102" s="14">
        <v>365</v>
      </c>
      <c r="AL102" s="38">
        <f>IFERROR(INDEX('Prior Year Data Pull'!$A$2:$CB$593,MATCH(C102,'Prior Year Data Pull'!$A$2:$A$593,0),MATCH("Estimated Third Party Settlements",'Prior Year Data Pull'!$A$1:$CB$1,0)),"")</f>
        <v>11028000</v>
      </c>
      <c r="AM102" s="38">
        <f>IFERROR(INDEX('Prior Year Data Pull'!$A$2:$CB$593,MATCH(C102,'Prior Year Data Pull'!$A$2:$A$593,0),MATCH("Current Liabilities due to Affiliates",'Prior Year Data Pull'!$A$1:$CB$1,0)),"")</f>
        <v>0</v>
      </c>
      <c r="AN102" s="38">
        <f>IFERROR(INDEX('Prior Year Data Pull'!$A$2:$CB$593,MATCH(C102,'Prior Year Data Pull'!$A$2:$A$593,0),MATCH("Short Term Investments",'Prior Year Data Pull'!$A$1:$CB$1,0)),"")</f>
        <v>62041000</v>
      </c>
      <c r="AO102" s="38">
        <f>IFERROR(INDEX('Prior Year Data Pull'!$A$2:$CB$593,MATCH(C102,'Prior Year Data Pull'!$A$2:$A$593,0),MATCH("Cash and Cash Equivalents",'Prior Year Data Pull'!$A$1:$CB$1,0)),"")</f>
        <v>65376000</v>
      </c>
      <c r="AP102" s="38">
        <f>IFERROR(INDEX('Prior Year Data Pull'!$A$2:$CB$593,MATCH(C102,'Prior Year Data Pull'!$A$2:$A$593,0),MATCH("Interest Expense",'Prior Year Data Pull'!$A$1:$CB$1,0)),"")</f>
        <v>47026000</v>
      </c>
      <c r="AQ102" s="38">
        <f>IFERROR(INDEX('Prior Year Data Pull'!$A$2:$CB$593,MATCH(C102,'Prior Year Data Pull'!$A$2:$A$593,0),MATCH("Long Term Debt Net of Current Portion",'Prior Year Data Pull'!$A$1:$CB$1,0)),"")</f>
        <v>900068000</v>
      </c>
      <c r="AR102" s="38">
        <f>IFERROR(INDEX('Prior Year Data Pull'!$A$2:$CB$593,MATCH(C102,'Prior Year Data Pull'!$A$2:$A$593,0),MATCH("Total Assets",'Prior Year Data Pull'!$A$1:$CB$1,0)),"")</f>
        <v>2011767000</v>
      </c>
      <c r="AS102" s="38">
        <f>IFERROR(INDEX('Prior Year Data Pull'!$A$2:$CB$593,MATCH(C102,'Prior Year Data Pull'!$A$2:$A$593,0),MATCH("Long Term Debt Net of Current Portion",'Prior Year Data Pull'!$A$1:$CB$1,0)),"")</f>
        <v>900068000</v>
      </c>
      <c r="AT102" s="38">
        <f>IFERROR(INDEX('Prior Year Data Pull'!$A$2:$CB$593,MATCH(C102,'Prior Year Data Pull'!$A$2:$A$593,0),MATCH("Net Unrestricted Assets",'Prior Year Data Pull'!$A$1:$CB$1,0)),"")</f>
        <v>140134000</v>
      </c>
      <c r="AU102" s="38">
        <f>IFERROR(INDEX('Prior Year Data Pull'!$A$2:$CB$593,MATCH(C102,'Prior Year Data Pull'!$A$2:$A$593,0),MATCH("Unrealized Gains/Losses",'Prior Year Data Pull'!$A$1:$CB$1,0)),"")</f>
        <v>-1671000</v>
      </c>
      <c r="AV102" s="38">
        <f>IFERROR(INDEX('Prior Year Data Pull'!$A$2:$CB$593,MATCH(C102,'Prior Year Data Pull'!$A$2:$A$593,0),MATCH("Salary and Benefit Expense",'Prior Year Data Pull'!$A$1:$CB$1,0)),"")</f>
        <v>1632871000</v>
      </c>
    </row>
    <row r="103" spans="1:48" ht="34.200000000000003" x14ac:dyDescent="0.3">
      <c r="A103" s="46" t="str">
        <f>IFERROR(INDEX('Static Data Tab'!$N$2:$N$610,MATCH(D103,'Static Data Tab'!$D$2:$D$610,0)), "")</f>
        <v>UMass Memorial Health Care</v>
      </c>
      <c r="B103" s="46" t="s">
        <v>197</v>
      </c>
      <c r="C103" s="46">
        <v>6755</v>
      </c>
      <c r="D103" s="46">
        <v>6755</v>
      </c>
      <c r="E103" s="46" t="str">
        <f>IFERROR(INDEX('Prior Year Data Pull'!$A$1:$CB$593,MATCH(C103,'Prior Year Data Pull'!$A$1:$A$593,0),MATCH("Organization Type",'Prior Year Data Pull'!$A$1:$CB$1,0)),"")</f>
        <v>HHS</v>
      </c>
      <c r="F103" s="46" t="str">
        <f>IFERROR(INDEX('Static Data Tab'!$E$2:$E$610,MATCH(C103,'Static Data Tab'!$B$2:$B$610,0)), "-")</f>
        <v>-</v>
      </c>
      <c r="G103" s="46" t="str">
        <f>IFERROR(INDEX('Static Data Tab'!$J$2:$J$610,MATCH(C103,'Static Data Tab'!$B$2:$B$610,0)), "")</f>
        <v/>
      </c>
      <c r="H103" s="46" t="str">
        <f>IFERROR(INDEX('Static Data Tab'!$F$2:$F$610,MATCH(C103,'Static Data Tab'!$B$2:$B$610,0)), "")</f>
        <v/>
      </c>
      <c r="I103" s="46" t="str">
        <f>IFERROR(INDEX('Static Data Tab'!$G$2:$G$610,MATCH(C103,'Static Data Tab'!$B$2:$B$610,0)), "")</f>
        <v/>
      </c>
      <c r="J103" s="46" t="str">
        <f>IFERROR(INDEX('Prior Year Data Pull'!$A$2:$CB$593,MATCH(C103,'Prior Year Data Pull'!$A$2:$A$593,0),MATCH("Quarter Range",'Prior Year Data Pull'!$A$1:$CB$1,0)),"")</f>
        <v xml:space="preserve">10/01/2024-09/30/2025
</v>
      </c>
      <c r="K103" s="45">
        <f t="shared" si="13"/>
        <v>-4.5364909988577701E-2</v>
      </c>
      <c r="L103" s="45">
        <f t="shared" si="14"/>
        <v>4.0732272992746198E-2</v>
      </c>
      <c r="M103" s="45">
        <f t="shared" si="15"/>
        <v>-4.6326369958315022E-3</v>
      </c>
      <c r="N103" s="47">
        <f t="shared" si="16"/>
        <v>-22757000</v>
      </c>
      <c r="O103" s="265">
        <f t="shared" si="17"/>
        <v>1.5443416757344941</v>
      </c>
      <c r="P103" s="47">
        <f>IFERROR(INDEX('Prior Year Data Pull'!$A$2:$CB$593,MATCH('Prior Year Data Table'!$C103,'Prior Year Data Pull'!$A$2:$A$593,0),MATCH("Total Net Assets or Equity",'Prior Year Data Pull'!$A$1:$CB$1,0)),"")</f>
        <v>1876710000</v>
      </c>
      <c r="Q103" s="47">
        <f>IFERROR(INDEX('Prior Year Data Pull'!$A$2:$CB$593,MATCH('Prior Year Data Table'!$C103,'Prior Year Data Pull'!$A$2:$A$593,0),MATCH("Total Operating Revenue",'Prior Year Data Pull'!$A$1:$CB$1,0)),"")</f>
        <v>4712231000</v>
      </c>
      <c r="R103" s="47">
        <f>IFERROR(INDEX('Prior Year Data Pull'!$A$2:$CB$593,MATCH('Prior Year Data Table'!$C103,'Prior Year Data Pull'!$A$2:$A$593,0),MATCH("Total Unrestricted Revenue Gains and Other Support",'Prior Year Data Pull'!$A$1:$CB$1,0)),"")</f>
        <v>4912321000</v>
      </c>
      <c r="S103" s="47">
        <f>IFERROR(INDEX('Prior Year TS Data Pull'!$K$2:$K$607,MATCH(C103,'Prior Year TS Data Pull'!$A$2:$A$607,0))+INDEX('Prior Year TS Data Pull'!$O$2:$O$119,MATCH(C103,'Prior Year TS Data Pull'!$A$2:$A$607,0))+INDEX('Prior Year TS Data Pull'!$S$2:$S$119,MATCH(C103,'Prior Year TS Data Pull'!$A$2:$A$607,0)),"")</f>
        <v>598885.81999999995</v>
      </c>
      <c r="T103" s="47">
        <f>IF(INDEX('Prior Year TS Data Pull'!$A$1:$O$607,MATCH(C103,'Prior Year TS Data Pull'!$A$1:$A$607,0),MATCH("Temporary RN Staffing:
Line Reported on in Standardized Financials",'Prior Year TS Data Pull'!$A$1:$O$1,0))="66.1: Salary and Benefit Expense",'Prior Year Data Table'!$AV103-'Prior Year Data Table'!$S103,0)</f>
        <v>0</v>
      </c>
      <c r="U103" s="47">
        <f>IFERROR(INDEX('Prior Year Data Pull'!$A$2:$CB$593,MATCH(C103,'Prior Year Data Pull'!$A$2:$A$593,0),MATCH("Total Expenses Including Nonrecurring Gains Losses",'Prior Year Data Pull'!$A$1:$CB$1,0)),"")</f>
        <v>4935078000</v>
      </c>
      <c r="V103" s="266">
        <f t="shared" si="18"/>
        <v>9.7128144150736304</v>
      </c>
      <c r="W103" s="266">
        <f t="shared" si="19"/>
        <v>37.340383152697143</v>
      </c>
      <c r="X103" s="266">
        <f t="shared" si="20"/>
        <v>56.945129648761089</v>
      </c>
      <c r="Y103" s="45">
        <f t="shared" si="21"/>
        <v>0.14168245787033926</v>
      </c>
      <c r="Z103" s="266">
        <f t="shared" si="22"/>
        <v>39.604526896723449</v>
      </c>
      <c r="AA103" s="265">
        <f t="shared" si="23"/>
        <v>0.17615244778407274</v>
      </c>
      <c r="AB103" s="45">
        <f t="shared" si="24"/>
        <v>0.45891209533935401</v>
      </c>
      <c r="AC103" s="45">
        <f t="shared" si="25"/>
        <v>0.36503401654486817</v>
      </c>
      <c r="AD103" s="47">
        <f>IFERROR(INDEX('Prior Year Data Pull'!$A$2:$CB$593,MATCH(C103,'Prior Year Data Pull'!$A$2:$A$593,0),MATCH("Net Patient Service Revenue",'Prior Year Data Pull'!$A$1:$CB$1,0)),"")</f>
        <v>4372878000</v>
      </c>
      <c r="AE103" s="47">
        <f>IFERROR(INDEX('Prior Year Data Pull'!$A$2:$CB$593,MATCH(C103,'Prior Year Data Pull'!$A$2:$A$593,0),MATCH("Total Current Assets",'Prior Year Data Pull'!$A$1:$CB$1,0)),"")</f>
        <v>1186493000</v>
      </c>
      <c r="AF103" s="47">
        <f>IFERROR(INDEX('Prior Year Data Pull'!$A$2:$CB$593,MATCH(C103,'Prior Year Data Pull'!$A$2:$A$593,0),MATCH("Total Current Liabilities",'Prior Year Data Pull'!$A$1:$CB$1,0)),"")</f>
        <v>768284000</v>
      </c>
      <c r="AG103" s="47">
        <f>IFERROR(INDEX('Prior Year Data Pull'!$A$2:$CB$593,MATCH(C103,'Prior Year Data Pull'!$A$2:$A$593,0),MATCH("Total Non Operating Revenue",'Prior Year Data Pull'!$A$1:$CB$1,0)),"")</f>
        <v>200090000</v>
      </c>
      <c r="AH103" s="47">
        <f>IFERROR(INDEX('Prior Year Data Pull'!$A$2:$CB$593,MATCH(C103,'Prior Year Data Pull'!$A$2:$A$593,0),MATCH("Less Accumulated Depreciation",'Prior Year Data Pull'!$A$1:$CB$1,0)),"")</f>
        <v>1592853000</v>
      </c>
      <c r="AI103" s="47">
        <f>IFERROR(INDEX('Prior Year Data Pull'!$A$2:$CB$593,MATCH(C103,'Prior Year Data Pull'!$A$2:$A$593,0),MATCH("Depreciation and Amortization Expense",'Prior Year Data Pull'!$A$1:$CB$1,0)),"")</f>
        <v>163995000</v>
      </c>
      <c r="AJ103" s="47">
        <f>IFERROR(INDEX('Prior Year Data Pull'!$A$2:$CB$593,MATCH(C103,'Prior Year Data Pull'!$A$2:$A$593,0),MATCH("Net Patient Accounts Receivable",'Prior Year Data Pull'!$A$1:$CB$1,0)),"")</f>
        <v>447356000</v>
      </c>
      <c r="AK103" s="46">
        <v>365</v>
      </c>
      <c r="AL103" s="47">
        <f>IFERROR(INDEX('Prior Year Data Pull'!$A$2:$CB$593,MATCH(C103,'Prior Year Data Pull'!$A$2:$A$593,0),MATCH("Estimated Third Party Settlements",'Prior Year Data Pull'!$A$1:$CB$1,0)),"")</f>
        <v>23928000</v>
      </c>
      <c r="AM103" s="47">
        <f>IFERROR(INDEX('Prior Year Data Pull'!$A$2:$CB$593,MATCH(C103,'Prior Year Data Pull'!$A$2:$A$593,0),MATCH("Current Liabilities due to Affiliates",'Prior Year Data Pull'!$A$1:$CB$1,0)),"")</f>
        <v>0</v>
      </c>
      <c r="AN103" s="47">
        <f>IFERROR(INDEX('Prior Year Data Pull'!$A$2:$CB$593,MATCH(C103,'Prior Year Data Pull'!$A$2:$A$593,0),MATCH("Short Term Investments",'Prior Year Data Pull'!$A$1:$CB$1,0)),"")</f>
        <v>317576000</v>
      </c>
      <c r="AO103" s="47">
        <f>IFERROR(INDEX('Prior Year Data Pull'!$A$2:$CB$593,MATCH(C103,'Prior Year Data Pull'!$A$2:$A$593,0),MATCH("Cash and Cash Equivalents",'Prior Year Data Pull'!$A$1:$CB$1,0)),"")</f>
        <v>200113000</v>
      </c>
      <c r="AP103" s="47">
        <f>IFERROR(INDEX('Prior Year Data Pull'!$A$2:$CB$593,MATCH(C103,'Prior Year Data Pull'!$A$2:$A$593,0),MATCH("Interest Expense",'Prior Year Data Pull'!$A$1:$CB$1,0)),"")</f>
        <v>41709000</v>
      </c>
      <c r="AQ103" s="47">
        <f>IFERROR(INDEX('Prior Year Data Pull'!$A$2:$CB$593,MATCH(C103,'Prior Year Data Pull'!$A$2:$A$593,0),MATCH("Long Term Debt Net of Current Portion",'Prior Year Data Pull'!$A$1:$CB$1,0)),"")</f>
        <v>996863000</v>
      </c>
      <c r="AR103" s="47">
        <f>IFERROR(INDEX('Prior Year Data Pull'!$A$2:$CB$593,MATCH(C103,'Prior Year Data Pull'!$A$2:$A$593,0),MATCH("Total Assets",'Prior Year Data Pull'!$A$1:$CB$1,0)),"")</f>
        <v>4089476000</v>
      </c>
      <c r="AS103" s="47">
        <f>IFERROR(INDEX('Prior Year Data Pull'!$A$2:$CB$593,MATCH(C103,'Prior Year Data Pull'!$A$2:$A$593,0),MATCH("Long Term Debt Net of Current Portion",'Prior Year Data Pull'!$A$1:$CB$1,0)),"")</f>
        <v>996863000</v>
      </c>
      <c r="AT103" s="47">
        <f>IFERROR(INDEX('Prior Year Data Pull'!$A$2:$CB$593,MATCH(C103,'Prior Year Data Pull'!$A$2:$A$593,0),MATCH("Net Unrestricted Assets",'Prior Year Data Pull'!$A$1:$CB$1,0)),"")</f>
        <v>1734014000</v>
      </c>
      <c r="AU103" s="47">
        <f>IFERROR(INDEX('Prior Year Data Pull'!$A$2:$CB$593,MATCH(C103,'Prior Year Data Pull'!$A$2:$A$593,0),MATCH("Unrealized Gains/Losses",'Prior Year Data Pull'!$A$1:$CB$1,0)),"")</f>
        <v>0</v>
      </c>
      <c r="AV103" s="47">
        <f>IFERROR(INDEX('Prior Year Data Pull'!$A$2:$CB$593,MATCH(C103,'Prior Year Data Pull'!$A$2:$A$593,0),MATCH("Salary and Benefit Expense",'Prior Year Data Pull'!$A$1:$CB$1,0)),"")</f>
        <v>2674051000</v>
      </c>
    </row>
    <row r="104" spans="1:48" ht="34.200000000000003" x14ac:dyDescent="0.3">
      <c r="A104" s="14" t="str">
        <f>IFERROR(INDEX('Static Data Tab'!$N$2:$N$610,MATCH(D104,'Static Data Tab'!$D$2:$D$610,0)), "")</f>
        <v>Boston Medical Center Health System</v>
      </c>
      <c r="B104" s="14" t="s">
        <v>120</v>
      </c>
      <c r="C104" s="14">
        <v>14418</v>
      </c>
      <c r="D104" s="14">
        <v>14287</v>
      </c>
      <c r="E104" s="14" t="str">
        <f>IFERROR(INDEX('Prior Year Data Pull'!$A$1:$CB$593,MATCH(C104,'Prior Year Data Pull'!$A$1:$A$593,0),MATCH("Organization Type",'Prior Year Data Pull'!$A$1:$CB$1,0)),"")</f>
        <v>PhysicianOrganization</v>
      </c>
      <c r="F104" s="14" t="str">
        <f>IFERROR(INDEX('Static Data Tab'!$E$2:$E$610,MATCH(C104,'Static Data Tab'!$B$2:$B$610,0)), "-")</f>
        <v>-</v>
      </c>
      <c r="G104" s="14" t="str">
        <f>IFERROR(INDEX('Static Data Tab'!$J$2:$J$610,MATCH(C104,'Static Data Tab'!$B$2:$B$610,0)), "")</f>
        <v/>
      </c>
      <c r="H104" s="14" t="str">
        <f>IFERROR(INDEX('Static Data Tab'!$F$2:$F$610,MATCH(C104,'Static Data Tab'!$B$2:$B$610,0)), "")</f>
        <v/>
      </c>
      <c r="I104" s="14" t="str">
        <f>IFERROR(INDEX('Static Data Tab'!$G$2:$G$610,MATCH(C104,'Static Data Tab'!$B$2:$B$610,0)), "")</f>
        <v/>
      </c>
      <c r="J104" s="14" t="str">
        <f>IFERROR(INDEX('Prior Year Data Pull'!$A$2:$CB$593,MATCH(C104,'Prior Year Data Pull'!$A$2:$A$593,0),MATCH("Quarter Range",'Prior Year Data Pull'!$A$1:$CB$1,0)),"")</f>
        <v xml:space="preserve">10/01/2024-09/30/2025
</v>
      </c>
      <c r="K104" s="37">
        <f t="shared" si="13"/>
        <v>-2.7406479159132451E-2</v>
      </c>
      <c r="L104" s="37">
        <f t="shared" si="14"/>
        <v>9.9023206635502816E-3</v>
      </c>
      <c r="M104" s="37">
        <f t="shared" si="15"/>
        <v>-1.7504158495582171E-2</v>
      </c>
      <c r="N104" s="38">
        <f t="shared" si="16"/>
        <v>-9846389</v>
      </c>
      <c r="O104" s="39" t="str">
        <f t="shared" si="17"/>
        <v/>
      </c>
      <c r="P104" s="38">
        <f>IFERROR(INDEX('Prior Year Data Pull'!$A$2:$CB$593,MATCH('Prior Year Data Table'!$C104,'Prior Year Data Pull'!$A$2:$A$593,0),MATCH("Total Net Assets or Equity",'Prior Year Data Pull'!$A$1:$CB$1,0)),"")</f>
        <v>0</v>
      </c>
      <c r="Q104" s="38">
        <f>IFERROR(INDEX('Prior Year Data Pull'!$A$2:$CB$593,MATCH('Prior Year Data Table'!$C104,'Prior Year Data Pull'!$A$2:$A$593,0),MATCH("Total Operating Revenue",'Prior Year Data Pull'!$A$1:$CB$1,0)),"")</f>
        <v>556946905</v>
      </c>
      <c r="R104" s="38">
        <f>IFERROR(INDEX('Prior Year Data Pull'!$A$2:$CB$593,MATCH('Prior Year Data Table'!$C104,'Prior Year Data Pull'!$A$2:$A$593,0),MATCH("Total Unrestricted Revenue Gains and Other Support",'Prior Year Data Pull'!$A$1:$CB$1,0)),"")</f>
        <v>562517130</v>
      </c>
      <c r="S104" s="38">
        <f>IFERROR(INDEX('Prior Year TS Data Pull'!$K$2:$K$607,MATCH(C104,'Prior Year TS Data Pull'!$A$2:$A$607,0))+INDEX('Prior Year TS Data Pull'!$O$2:$O$119,MATCH(C104,'Prior Year TS Data Pull'!$A$2:$A$607,0))+INDEX('Prior Year TS Data Pull'!$S$2:$S$119,MATCH(C104,'Prior Year TS Data Pull'!$A$2:$A$607,0)),"")</f>
        <v>2364639</v>
      </c>
      <c r="T104" s="38">
        <f>IF(INDEX('Prior Year TS Data Pull'!$A$1:$O$607,MATCH(C104,'Prior Year TS Data Pull'!$A$1:$A$607,0),MATCH("Temporary RN Staffing:
Line Reported on in Standardized Financials",'Prior Year TS Data Pull'!$A$1:$O$1,0))="66.1: Salary and Benefit Expense",'Prior Year Data Table'!$AV104-'Prior Year Data Table'!$S104,0)</f>
        <v>0</v>
      </c>
      <c r="U104" s="38">
        <f>IFERROR(INDEX('Prior Year Data Pull'!$A$2:$CB$593,MATCH(C104,'Prior Year Data Pull'!$A$2:$A$593,0),MATCH("Total Expenses Including Nonrecurring Gains Losses",'Prior Year Data Pull'!$A$1:$CB$1,0)),"")</f>
        <v>572363519</v>
      </c>
      <c r="V104" s="41">
        <f t="shared" si="18"/>
        <v>0</v>
      </c>
      <c r="W104" s="41">
        <f t="shared" si="19"/>
        <v>0</v>
      </c>
      <c r="X104" s="41">
        <f t="shared" si="20"/>
        <v>0</v>
      </c>
      <c r="Y104" s="37" t="str">
        <f t="shared" si="21"/>
        <v/>
      </c>
      <c r="Z104" s="41">
        <f t="shared" si="22"/>
        <v>0</v>
      </c>
      <c r="AA104" s="39">
        <f t="shared" si="23"/>
        <v>-681.25259573054245</v>
      </c>
      <c r="AB104" s="37" t="str">
        <f t="shared" si="24"/>
        <v/>
      </c>
      <c r="AC104" s="37" t="str">
        <f t="shared" si="25"/>
        <v/>
      </c>
      <c r="AD104" s="38">
        <f>IFERROR(INDEX('Prior Year Data Pull'!$A$2:$CB$593,MATCH(C104,'Prior Year Data Pull'!$A$2:$A$593,0),MATCH("Net Patient Service Revenue",'Prior Year Data Pull'!$A$1:$CB$1,0)),"")</f>
        <v>215619529</v>
      </c>
      <c r="AE104" s="38">
        <f>IFERROR(INDEX('Prior Year Data Pull'!$A$2:$CB$593,MATCH(C104,'Prior Year Data Pull'!$A$2:$A$593,0),MATCH("Total Current Assets",'Prior Year Data Pull'!$A$1:$CB$1,0)),"")</f>
        <v>0</v>
      </c>
      <c r="AF104" s="38">
        <f>IFERROR(INDEX('Prior Year Data Pull'!$A$2:$CB$593,MATCH(C104,'Prior Year Data Pull'!$A$2:$A$593,0),MATCH("Total Current Liabilities",'Prior Year Data Pull'!$A$1:$CB$1,0)),"")</f>
        <v>0</v>
      </c>
      <c r="AG104" s="38">
        <f>IFERROR(INDEX('Prior Year Data Pull'!$A$2:$CB$593,MATCH(C104,'Prior Year Data Pull'!$A$2:$A$593,0),MATCH("Total Non Operating Revenue",'Prior Year Data Pull'!$A$1:$CB$1,0)),"")</f>
        <v>5570225</v>
      </c>
      <c r="AH104" s="38">
        <f>IFERROR(INDEX('Prior Year Data Pull'!$A$2:$CB$593,MATCH(C104,'Prior Year Data Pull'!$A$2:$A$593,0),MATCH("Less Accumulated Depreciation",'Prior Year Data Pull'!$A$1:$CB$1,0)),"")</f>
        <v>0</v>
      </c>
      <c r="AI104" s="38">
        <f>IFERROR(INDEX('Prior Year Data Pull'!$A$2:$CB$593,MATCH(C104,'Prior Year Data Pull'!$A$2:$A$593,0),MATCH("Depreciation and Amortization Expense",'Prior Year Data Pull'!$A$1:$CB$1,0)),"")</f>
        <v>571916</v>
      </c>
      <c r="AJ104" s="38">
        <f>IFERROR(INDEX('Prior Year Data Pull'!$A$2:$CB$593,MATCH(C104,'Prior Year Data Pull'!$A$2:$A$593,0),MATCH("Net Patient Accounts Receivable",'Prior Year Data Pull'!$A$1:$CB$1,0)),"")</f>
        <v>0</v>
      </c>
      <c r="AK104" s="14">
        <v>365</v>
      </c>
      <c r="AL104" s="38">
        <f>IFERROR(INDEX('Prior Year Data Pull'!$A$2:$CB$593,MATCH(C104,'Prior Year Data Pull'!$A$2:$A$593,0),MATCH("Estimated Third Party Settlements",'Prior Year Data Pull'!$A$1:$CB$1,0)),"")</f>
        <v>0</v>
      </c>
      <c r="AM104" s="38">
        <f>IFERROR(INDEX('Prior Year Data Pull'!$A$2:$CB$593,MATCH(C104,'Prior Year Data Pull'!$A$2:$A$593,0),MATCH("Current Liabilities due to Affiliates",'Prior Year Data Pull'!$A$1:$CB$1,0)),"")</f>
        <v>0</v>
      </c>
      <c r="AN104" s="38">
        <f>IFERROR(INDEX('Prior Year Data Pull'!$A$2:$CB$593,MATCH(C104,'Prior Year Data Pull'!$A$2:$A$593,0),MATCH("Short Term Investments",'Prior Year Data Pull'!$A$1:$CB$1,0)),"")</f>
        <v>0</v>
      </c>
      <c r="AO104" s="38">
        <f>IFERROR(INDEX('Prior Year Data Pull'!$A$2:$CB$593,MATCH(C104,'Prior Year Data Pull'!$A$2:$A$593,0),MATCH("Cash and Cash Equivalents",'Prior Year Data Pull'!$A$1:$CB$1,0)),"")</f>
        <v>0</v>
      </c>
      <c r="AP104" s="38">
        <f>IFERROR(INDEX('Prior Year Data Pull'!$A$2:$CB$593,MATCH(C104,'Prior Year Data Pull'!$A$2:$A$593,0),MATCH("Interest Expense",'Prior Year Data Pull'!$A$1:$CB$1,0)),"")</f>
        <v>12039</v>
      </c>
      <c r="AQ104" s="38">
        <f>IFERROR(INDEX('Prior Year Data Pull'!$A$2:$CB$593,MATCH(C104,'Prior Year Data Pull'!$A$2:$A$593,0),MATCH("Long Term Debt Net of Current Portion",'Prior Year Data Pull'!$A$1:$CB$1,0)),"")</f>
        <v>0</v>
      </c>
      <c r="AR104" s="38">
        <f>IFERROR(INDEX('Prior Year Data Pull'!$A$2:$CB$593,MATCH(C104,'Prior Year Data Pull'!$A$2:$A$593,0),MATCH("Total Assets",'Prior Year Data Pull'!$A$1:$CB$1,0)),"")</f>
        <v>0</v>
      </c>
      <c r="AS104" s="38">
        <f>IFERROR(INDEX('Prior Year Data Pull'!$A$2:$CB$593,MATCH(C104,'Prior Year Data Pull'!$A$2:$A$593,0),MATCH("Long Term Debt Net of Current Portion",'Prior Year Data Pull'!$A$1:$CB$1,0)),"")</f>
        <v>0</v>
      </c>
      <c r="AT104" s="38">
        <f>IFERROR(INDEX('Prior Year Data Pull'!$A$2:$CB$593,MATCH(C104,'Prior Year Data Pull'!$A$2:$A$593,0),MATCH("Net Unrestricted Assets",'Prior Year Data Pull'!$A$1:$CB$1,0)),"")</f>
        <v>0</v>
      </c>
      <c r="AU104" s="38">
        <f>IFERROR(INDEX('Prior Year Data Pull'!$A$2:$CB$593,MATCH(C104,'Prior Year Data Pull'!$A$2:$A$593,0),MATCH("Unrealized Gains/Losses",'Prior Year Data Pull'!$A$1:$CB$1,0)),"")</f>
        <v>-1060834</v>
      </c>
      <c r="AV104" s="38">
        <f>IFERROR(INDEX('Prior Year Data Pull'!$A$2:$CB$593,MATCH(C104,'Prior Year Data Pull'!$A$2:$A$593,0),MATCH("Salary and Benefit Expense",'Prior Year Data Pull'!$A$1:$CB$1,0)),"")</f>
        <v>500146954</v>
      </c>
    </row>
    <row r="105" spans="1:48" ht="34.200000000000003" x14ac:dyDescent="0.3">
      <c r="A105" s="46" t="str">
        <f>IFERROR(INDEX('Static Data Tab'!$N$2:$N$610,MATCH(D105,'Static Data Tab'!$D$2:$D$610,0)), "")</f>
        <v>Tufts Medicine</v>
      </c>
      <c r="B105" s="46" t="s">
        <v>194</v>
      </c>
      <c r="C105" s="46">
        <v>14420</v>
      </c>
      <c r="D105" s="46">
        <v>12775</v>
      </c>
      <c r="E105" s="46" t="str">
        <f>IFERROR(INDEX('Prior Year Data Pull'!$A$1:$CB$593,MATCH(C105,'Prior Year Data Pull'!$A$1:$A$593,0),MATCH("Organization Type",'Prior Year Data Pull'!$A$1:$CB$1,0)),"")</f>
        <v>PhysicianOrganization</v>
      </c>
      <c r="F105" s="46" t="str">
        <f>IFERROR(INDEX('Static Data Tab'!$E$2:$E$610,MATCH(C105,'Static Data Tab'!$B$2:$B$610,0)), "-")</f>
        <v>-</v>
      </c>
      <c r="G105" s="46" t="str">
        <f>IFERROR(INDEX('Static Data Tab'!$J$2:$J$610,MATCH(C105,'Static Data Tab'!$B$2:$B$610,0)), "")</f>
        <v/>
      </c>
      <c r="H105" s="46" t="str">
        <f>IFERROR(INDEX('Static Data Tab'!$F$2:$F$610,MATCH(C105,'Static Data Tab'!$B$2:$B$610,0)), "")</f>
        <v/>
      </c>
      <c r="I105" s="46" t="str">
        <f>IFERROR(INDEX('Static Data Tab'!$G$2:$G$610,MATCH(C105,'Static Data Tab'!$B$2:$B$610,0)), "")</f>
        <v/>
      </c>
      <c r="J105" s="46" t="str">
        <f>IFERROR(INDEX('Prior Year Data Pull'!$A$2:$CB$593,MATCH(C105,'Prior Year Data Pull'!$A$2:$A$593,0),MATCH("Quarter Range",'Prior Year Data Pull'!$A$1:$CB$1,0)),"")</f>
        <v xml:space="preserve">10/01/2024-09/30/2025
</v>
      </c>
      <c r="K105" s="45">
        <f t="shared" si="13"/>
        <v>-0.26632325246482774</v>
      </c>
      <c r="L105" s="45">
        <f t="shared" si="14"/>
        <v>0</v>
      </c>
      <c r="M105" s="45">
        <f t="shared" si="15"/>
        <v>-0.26632325246482774</v>
      </c>
      <c r="N105" s="47">
        <f t="shared" si="16"/>
        <v>-24041000</v>
      </c>
      <c r="O105" s="265" t="str">
        <f t="shared" si="17"/>
        <v/>
      </c>
      <c r="P105" s="47">
        <f>IFERROR(INDEX('Prior Year Data Pull'!$A$2:$CB$593,MATCH('Prior Year Data Table'!$C105,'Prior Year Data Pull'!$A$2:$A$593,0),MATCH("Total Net Assets or Equity",'Prior Year Data Pull'!$A$1:$CB$1,0)),"")</f>
        <v>0</v>
      </c>
      <c r="Q105" s="47">
        <f>IFERROR(INDEX('Prior Year Data Pull'!$A$2:$CB$593,MATCH('Prior Year Data Table'!$C105,'Prior Year Data Pull'!$A$2:$A$593,0),MATCH("Total Operating Revenue",'Prior Year Data Pull'!$A$1:$CB$1,0)),"")</f>
        <v>90270000</v>
      </c>
      <c r="R105" s="47">
        <f>IFERROR(INDEX('Prior Year Data Pull'!$A$2:$CB$593,MATCH('Prior Year Data Table'!$C105,'Prior Year Data Pull'!$A$2:$A$593,0),MATCH("Total Unrestricted Revenue Gains and Other Support",'Prior Year Data Pull'!$A$1:$CB$1,0)),"")</f>
        <v>90270000</v>
      </c>
      <c r="S105" s="47" t="str">
        <f>IFERROR(INDEX('Prior Year TS Data Pull'!$K$2:$K$607,MATCH(C105,'Prior Year TS Data Pull'!$A$2:$A$607,0))+INDEX('Prior Year TS Data Pull'!$O$2:$O$119,MATCH(C105,'Prior Year TS Data Pull'!$A$2:$A$607,0))+INDEX('Prior Year TS Data Pull'!$S$2:$S$119,MATCH(C105,'Prior Year TS Data Pull'!$A$2:$A$607,0)),"")</f>
        <v/>
      </c>
      <c r="T105" s="47" t="e">
        <f>IF(INDEX('Prior Year TS Data Pull'!$A$1:$O$607,MATCH(C105,'Prior Year TS Data Pull'!$A$1:$A$607,0),MATCH("Temporary RN Staffing:
Line Reported on in Standardized Financials",'Prior Year TS Data Pull'!$A$1:$O$1,0))="66.1: Salary and Benefit Expense",'Prior Year Data Table'!$AV105-'Prior Year Data Table'!$S105,0)</f>
        <v>#N/A</v>
      </c>
      <c r="U105" s="47">
        <f>IFERROR(INDEX('Prior Year Data Pull'!$A$2:$CB$593,MATCH(C105,'Prior Year Data Pull'!$A$2:$A$593,0),MATCH("Total Expenses Including Nonrecurring Gains Losses",'Prior Year Data Pull'!$A$1:$CB$1,0)),"")</f>
        <v>114311000</v>
      </c>
      <c r="V105" s="266">
        <f t="shared" si="18"/>
        <v>0</v>
      </c>
      <c r="W105" s="266">
        <f t="shared" si="19"/>
        <v>0</v>
      </c>
      <c r="X105" s="266">
        <f t="shared" si="20"/>
        <v>0</v>
      </c>
      <c r="Y105" s="45" t="str">
        <f t="shared" si="21"/>
        <v/>
      </c>
      <c r="Z105" s="266">
        <f t="shared" si="22"/>
        <v>0</v>
      </c>
      <c r="AA105" s="265" t="str">
        <f t="shared" si="23"/>
        <v/>
      </c>
      <c r="AB105" s="45" t="str">
        <f t="shared" si="24"/>
        <v/>
      </c>
      <c r="AC105" s="45" t="str">
        <f t="shared" si="25"/>
        <v/>
      </c>
      <c r="AD105" s="47">
        <f>IFERROR(INDEX('Prior Year Data Pull'!$A$2:$CB$593,MATCH(C105,'Prior Year Data Pull'!$A$2:$A$593,0),MATCH("Net Patient Service Revenue",'Prior Year Data Pull'!$A$1:$CB$1,0)),"")</f>
        <v>73482000</v>
      </c>
      <c r="AE105" s="47">
        <f>IFERROR(INDEX('Prior Year Data Pull'!$A$2:$CB$593,MATCH(C105,'Prior Year Data Pull'!$A$2:$A$593,0),MATCH("Total Current Assets",'Prior Year Data Pull'!$A$1:$CB$1,0)),"")</f>
        <v>0</v>
      </c>
      <c r="AF105" s="47">
        <f>IFERROR(INDEX('Prior Year Data Pull'!$A$2:$CB$593,MATCH(C105,'Prior Year Data Pull'!$A$2:$A$593,0),MATCH("Total Current Liabilities",'Prior Year Data Pull'!$A$1:$CB$1,0)),"")</f>
        <v>0</v>
      </c>
      <c r="AG105" s="47">
        <f>IFERROR(INDEX('Prior Year Data Pull'!$A$2:$CB$593,MATCH(C105,'Prior Year Data Pull'!$A$2:$A$593,0),MATCH("Total Non Operating Revenue",'Prior Year Data Pull'!$A$1:$CB$1,0)),"")</f>
        <v>0</v>
      </c>
      <c r="AH105" s="47">
        <f>IFERROR(INDEX('Prior Year Data Pull'!$A$2:$CB$593,MATCH(C105,'Prior Year Data Pull'!$A$2:$A$593,0),MATCH("Less Accumulated Depreciation",'Prior Year Data Pull'!$A$1:$CB$1,0)),"")</f>
        <v>0</v>
      </c>
      <c r="AI105" s="47">
        <f>IFERROR(INDEX('Prior Year Data Pull'!$A$2:$CB$593,MATCH(C105,'Prior Year Data Pull'!$A$2:$A$593,0),MATCH("Depreciation and Amortization Expense",'Prior Year Data Pull'!$A$1:$CB$1,0)),"")</f>
        <v>476000</v>
      </c>
      <c r="AJ105" s="47">
        <f>IFERROR(INDEX('Prior Year Data Pull'!$A$2:$CB$593,MATCH(C105,'Prior Year Data Pull'!$A$2:$A$593,0),MATCH("Net Patient Accounts Receivable",'Prior Year Data Pull'!$A$1:$CB$1,0)),"")</f>
        <v>0</v>
      </c>
      <c r="AK105" s="46">
        <v>365</v>
      </c>
      <c r="AL105" s="47">
        <f>IFERROR(INDEX('Prior Year Data Pull'!$A$2:$CB$593,MATCH(C105,'Prior Year Data Pull'!$A$2:$A$593,0),MATCH("Estimated Third Party Settlements",'Prior Year Data Pull'!$A$1:$CB$1,0)),"")</f>
        <v>0</v>
      </c>
      <c r="AM105" s="47">
        <f>IFERROR(INDEX('Prior Year Data Pull'!$A$2:$CB$593,MATCH(C105,'Prior Year Data Pull'!$A$2:$A$593,0),MATCH("Current Liabilities due to Affiliates",'Prior Year Data Pull'!$A$1:$CB$1,0)),"")</f>
        <v>0</v>
      </c>
      <c r="AN105" s="47">
        <f>IFERROR(INDEX('Prior Year Data Pull'!$A$2:$CB$593,MATCH(C105,'Prior Year Data Pull'!$A$2:$A$593,0),MATCH("Short Term Investments",'Prior Year Data Pull'!$A$1:$CB$1,0)),"")</f>
        <v>0</v>
      </c>
      <c r="AO105" s="47">
        <f>IFERROR(INDEX('Prior Year Data Pull'!$A$2:$CB$593,MATCH(C105,'Prior Year Data Pull'!$A$2:$A$593,0),MATCH("Cash and Cash Equivalents",'Prior Year Data Pull'!$A$1:$CB$1,0)),"")</f>
        <v>0</v>
      </c>
      <c r="AP105" s="47">
        <f>IFERROR(INDEX('Prior Year Data Pull'!$A$2:$CB$593,MATCH(C105,'Prior Year Data Pull'!$A$2:$A$593,0),MATCH("Interest Expense",'Prior Year Data Pull'!$A$1:$CB$1,0)),"")</f>
        <v>0</v>
      </c>
      <c r="AQ105" s="47">
        <f>IFERROR(INDEX('Prior Year Data Pull'!$A$2:$CB$593,MATCH(C105,'Prior Year Data Pull'!$A$2:$A$593,0),MATCH("Long Term Debt Net of Current Portion",'Prior Year Data Pull'!$A$1:$CB$1,0)),"")</f>
        <v>0</v>
      </c>
      <c r="AR105" s="47">
        <f>IFERROR(INDEX('Prior Year Data Pull'!$A$2:$CB$593,MATCH(C105,'Prior Year Data Pull'!$A$2:$A$593,0),MATCH("Total Assets",'Prior Year Data Pull'!$A$1:$CB$1,0)),"")</f>
        <v>0</v>
      </c>
      <c r="AS105" s="47">
        <f>IFERROR(INDEX('Prior Year Data Pull'!$A$2:$CB$593,MATCH(C105,'Prior Year Data Pull'!$A$2:$A$593,0),MATCH("Long Term Debt Net of Current Portion",'Prior Year Data Pull'!$A$1:$CB$1,0)),"")</f>
        <v>0</v>
      </c>
      <c r="AT105" s="47">
        <f>IFERROR(INDEX('Prior Year Data Pull'!$A$2:$CB$593,MATCH(C105,'Prior Year Data Pull'!$A$2:$A$593,0),MATCH("Net Unrestricted Assets",'Prior Year Data Pull'!$A$1:$CB$1,0)),"")</f>
        <v>0</v>
      </c>
      <c r="AU105" s="47">
        <f>IFERROR(INDEX('Prior Year Data Pull'!$A$2:$CB$593,MATCH(C105,'Prior Year Data Pull'!$A$2:$A$593,0),MATCH("Unrealized Gains/Losses",'Prior Year Data Pull'!$A$1:$CB$1,0)),"")</f>
        <v>0</v>
      </c>
      <c r="AV105" s="47">
        <f>IFERROR(INDEX('Prior Year Data Pull'!$A$2:$CB$593,MATCH(C105,'Prior Year Data Pull'!$A$2:$A$593,0),MATCH("Salary and Benefit Expense",'Prior Year Data Pull'!$A$1:$CB$1,0)),"")</f>
        <v>79855000</v>
      </c>
    </row>
    <row r="106" spans="1:48" ht="34.200000000000003" x14ac:dyDescent="0.3">
      <c r="A106" s="14" t="str">
        <f>IFERROR(INDEX('Static Data Tab'!$N$2:$N$610,MATCH(D106,'Static Data Tab'!$D$2:$D$610,0)), "")</f>
        <v>Beth Israel Lahey Health</v>
      </c>
      <c r="B106" s="14" t="s">
        <v>106</v>
      </c>
      <c r="C106" s="14">
        <v>14421</v>
      </c>
      <c r="D106" s="14">
        <v>16665</v>
      </c>
      <c r="E106" s="14" t="str">
        <f>IFERROR(INDEX('Prior Year Data Pull'!$A$1:$CB$593,MATCH(C106,'Prior Year Data Pull'!$A$1:$A$593,0),MATCH("Organization Type",'Prior Year Data Pull'!$A$1:$CB$1,0)),"")</f>
        <v>PhysicianOrganization</v>
      </c>
      <c r="F106" s="14" t="str">
        <f>IFERROR(INDEX('Static Data Tab'!$E$2:$E$610,MATCH(C106,'Static Data Tab'!$B$2:$B$610,0)), "-")</f>
        <v>-</v>
      </c>
      <c r="G106" s="14" t="str">
        <f>IFERROR(INDEX('Static Data Tab'!$J$2:$J$610,MATCH(C106,'Static Data Tab'!$B$2:$B$610,0)), "")</f>
        <v/>
      </c>
      <c r="H106" s="14" t="str">
        <f>IFERROR(INDEX('Static Data Tab'!$F$2:$F$610,MATCH(C106,'Static Data Tab'!$B$2:$B$610,0)), "")</f>
        <v/>
      </c>
      <c r="I106" s="14" t="str">
        <f>IFERROR(INDEX('Static Data Tab'!$G$2:$G$610,MATCH(C106,'Static Data Tab'!$B$2:$B$610,0)), "")</f>
        <v/>
      </c>
      <c r="J106" s="14" t="str">
        <f>IFERROR(INDEX('Prior Year Data Pull'!$A$2:$CB$593,MATCH(C106,'Prior Year Data Pull'!$A$2:$A$593,0),MATCH("Quarter Range",'Prior Year Data Pull'!$A$1:$CB$1,0)),"")</f>
        <v xml:space="preserve">10/01/2024-09/30/2025
</v>
      </c>
      <c r="K106" s="37">
        <f t="shared" si="13"/>
        <v>-0.26736935237772314</v>
      </c>
      <c r="L106" s="37">
        <f t="shared" si="14"/>
        <v>-5.6688141052810039E-3</v>
      </c>
      <c r="M106" s="37">
        <f t="shared" si="15"/>
        <v>-0.27303816648300416</v>
      </c>
      <c r="N106" s="38">
        <f t="shared" si="16"/>
        <v>-103073000</v>
      </c>
      <c r="O106" s="39" t="str">
        <f t="shared" si="17"/>
        <v/>
      </c>
      <c r="P106" s="38">
        <f>IFERROR(INDEX('Prior Year Data Pull'!$A$2:$CB$593,MATCH('Prior Year Data Table'!$C106,'Prior Year Data Pull'!$A$2:$A$593,0),MATCH("Total Net Assets or Equity",'Prior Year Data Pull'!$A$1:$CB$1,0)),"")</f>
        <v>0</v>
      </c>
      <c r="Q106" s="38">
        <f>IFERROR(INDEX('Prior Year Data Pull'!$A$2:$CB$593,MATCH('Prior Year Data Table'!$C106,'Prior Year Data Pull'!$A$2:$A$593,0),MATCH("Total Operating Revenue",'Prior Year Data Pull'!$A$1:$CB$1,0)),"")</f>
        <v>379644000</v>
      </c>
      <c r="R106" s="38">
        <f>IFERROR(INDEX('Prior Year Data Pull'!$A$2:$CB$593,MATCH('Prior Year Data Table'!$C106,'Prior Year Data Pull'!$A$2:$A$593,0),MATCH("Total Unrestricted Revenue Gains and Other Support",'Prior Year Data Pull'!$A$1:$CB$1,0)),"")</f>
        <v>377504000</v>
      </c>
      <c r="S106" s="38">
        <f>IFERROR(INDEX('Prior Year TS Data Pull'!$K$2:$K$607,MATCH(C106,'Prior Year TS Data Pull'!$A$2:$A$607,0))+INDEX('Prior Year TS Data Pull'!$O$2:$O$119,MATCH(C106,'Prior Year TS Data Pull'!$A$2:$A$607,0))+INDEX('Prior Year TS Data Pull'!$S$2:$S$119,MATCH(C106,'Prior Year TS Data Pull'!$A$2:$A$607,0)),"")</f>
        <v>2488563</v>
      </c>
      <c r="T106" s="38">
        <f>IF(INDEX('Prior Year TS Data Pull'!$A$1:$O$607,MATCH(C106,'Prior Year TS Data Pull'!$A$1:$A$607,0),MATCH("Temporary RN Staffing:
Line Reported on in Standardized Financials",'Prior Year TS Data Pull'!$A$1:$O$1,0))="66.1: Salary and Benefit Expense",'Prior Year Data Table'!$AV106-'Prior Year Data Table'!$S106,0)</f>
        <v>446353437</v>
      </c>
      <c r="U106" s="38">
        <f>IFERROR(INDEX('Prior Year Data Pull'!$A$2:$CB$593,MATCH(C106,'Prior Year Data Pull'!$A$2:$A$593,0),MATCH("Total Expenses Including Nonrecurring Gains Losses",'Prior Year Data Pull'!$A$1:$CB$1,0)),"")</f>
        <v>480577000</v>
      </c>
      <c r="V106" s="41">
        <f t="shared" si="18"/>
        <v>0</v>
      </c>
      <c r="W106" s="41">
        <f t="shared" si="19"/>
        <v>0</v>
      </c>
      <c r="X106" s="41">
        <f t="shared" si="20"/>
        <v>0</v>
      </c>
      <c r="Y106" s="37" t="str">
        <f t="shared" si="21"/>
        <v/>
      </c>
      <c r="Z106" s="41">
        <f t="shared" si="22"/>
        <v>0</v>
      </c>
      <c r="AA106" s="39">
        <f t="shared" si="23"/>
        <v>-533.47849462365593</v>
      </c>
      <c r="AB106" s="37" t="str">
        <f t="shared" si="24"/>
        <v/>
      </c>
      <c r="AC106" s="37" t="str">
        <f t="shared" si="25"/>
        <v/>
      </c>
      <c r="AD106" s="38">
        <f>IFERROR(INDEX('Prior Year Data Pull'!$A$2:$CB$593,MATCH(C106,'Prior Year Data Pull'!$A$2:$A$593,0),MATCH("Net Patient Service Revenue",'Prior Year Data Pull'!$A$1:$CB$1,0)),"")</f>
        <v>333480000</v>
      </c>
      <c r="AE106" s="38">
        <f>IFERROR(INDEX('Prior Year Data Pull'!$A$2:$CB$593,MATCH(C106,'Prior Year Data Pull'!$A$2:$A$593,0),MATCH("Total Current Assets",'Prior Year Data Pull'!$A$1:$CB$1,0)),"")</f>
        <v>0</v>
      </c>
      <c r="AF106" s="38">
        <f>IFERROR(INDEX('Prior Year Data Pull'!$A$2:$CB$593,MATCH(C106,'Prior Year Data Pull'!$A$2:$A$593,0),MATCH("Total Current Liabilities",'Prior Year Data Pull'!$A$1:$CB$1,0)),"")</f>
        <v>0</v>
      </c>
      <c r="AG106" s="38">
        <f>IFERROR(INDEX('Prior Year Data Pull'!$A$2:$CB$593,MATCH(C106,'Prior Year Data Pull'!$A$2:$A$593,0),MATCH("Total Non Operating Revenue",'Prior Year Data Pull'!$A$1:$CB$1,0)),"")</f>
        <v>-2140000</v>
      </c>
      <c r="AH106" s="38">
        <f>IFERROR(INDEX('Prior Year Data Pull'!$A$2:$CB$593,MATCH(C106,'Prior Year Data Pull'!$A$2:$A$593,0),MATCH("Less Accumulated Depreciation",'Prior Year Data Pull'!$A$1:$CB$1,0)),"")</f>
        <v>0</v>
      </c>
      <c r="AI106" s="38">
        <f>IFERROR(INDEX('Prior Year Data Pull'!$A$2:$CB$593,MATCH(C106,'Prior Year Data Pull'!$A$2:$A$593,0),MATCH("Depreciation and Amortization Expense",'Prior Year Data Pull'!$A$1:$CB$1,0)),"")</f>
        <v>3731000</v>
      </c>
      <c r="AJ106" s="38">
        <f>IFERROR(INDEX('Prior Year Data Pull'!$A$2:$CB$593,MATCH(C106,'Prior Year Data Pull'!$A$2:$A$593,0),MATCH("Net Patient Accounts Receivable",'Prior Year Data Pull'!$A$1:$CB$1,0)),"")</f>
        <v>0</v>
      </c>
      <c r="AK106" s="14">
        <v>365</v>
      </c>
      <c r="AL106" s="38">
        <f>IFERROR(INDEX('Prior Year Data Pull'!$A$2:$CB$593,MATCH(C106,'Prior Year Data Pull'!$A$2:$A$593,0),MATCH("Estimated Third Party Settlements",'Prior Year Data Pull'!$A$1:$CB$1,0)),"")</f>
        <v>0</v>
      </c>
      <c r="AM106" s="38">
        <f>IFERROR(INDEX('Prior Year Data Pull'!$A$2:$CB$593,MATCH(C106,'Prior Year Data Pull'!$A$2:$A$593,0),MATCH("Current Liabilities due to Affiliates",'Prior Year Data Pull'!$A$1:$CB$1,0)),"")</f>
        <v>0</v>
      </c>
      <c r="AN106" s="38">
        <f>IFERROR(INDEX('Prior Year Data Pull'!$A$2:$CB$593,MATCH(C106,'Prior Year Data Pull'!$A$2:$A$593,0),MATCH("Short Term Investments",'Prior Year Data Pull'!$A$1:$CB$1,0)),"")</f>
        <v>0</v>
      </c>
      <c r="AO106" s="38">
        <f>IFERROR(INDEX('Prior Year Data Pull'!$A$2:$CB$593,MATCH(C106,'Prior Year Data Pull'!$A$2:$A$593,0),MATCH("Cash and Cash Equivalents",'Prior Year Data Pull'!$A$1:$CB$1,0)),"")</f>
        <v>0</v>
      </c>
      <c r="AP106" s="38">
        <f>IFERROR(INDEX('Prior Year Data Pull'!$A$2:$CB$593,MATCH(C106,'Prior Year Data Pull'!$A$2:$A$593,0),MATCH("Interest Expense",'Prior Year Data Pull'!$A$1:$CB$1,0)),"")</f>
        <v>186000</v>
      </c>
      <c r="AQ106" s="38">
        <f>IFERROR(INDEX('Prior Year Data Pull'!$A$2:$CB$593,MATCH(C106,'Prior Year Data Pull'!$A$2:$A$593,0),MATCH("Long Term Debt Net of Current Portion",'Prior Year Data Pull'!$A$1:$CB$1,0)),"")</f>
        <v>0</v>
      </c>
      <c r="AR106" s="38">
        <f>IFERROR(INDEX('Prior Year Data Pull'!$A$2:$CB$593,MATCH(C106,'Prior Year Data Pull'!$A$2:$A$593,0),MATCH("Total Assets",'Prior Year Data Pull'!$A$1:$CB$1,0)),"")</f>
        <v>0</v>
      </c>
      <c r="AS106" s="38">
        <f>IFERROR(INDEX('Prior Year Data Pull'!$A$2:$CB$593,MATCH(C106,'Prior Year Data Pull'!$A$2:$A$593,0),MATCH("Long Term Debt Net of Current Portion",'Prior Year Data Pull'!$A$1:$CB$1,0)),"")</f>
        <v>0</v>
      </c>
      <c r="AT106" s="38">
        <f>IFERROR(INDEX('Prior Year Data Pull'!$A$2:$CB$593,MATCH(C106,'Prior Year Data Pull'!$A$2:$A$593,0),MATCH("Net Unrestricted Assets",'Prior Year Data Pull'!$A$1:$CB$1,0)),"")</f>
        <v>0</v>
      </c>
      <c r="AU106" s="38">
        <f>IFERROR(INDEX('Prior Year Data Pull'!$A$2:$CB$593,MATCH(C106,'Prior Year Data Pull'!$A$2:$A$593,0),MATCH("Unrealized Gains/Losses",'Prior Year Data Pull'!$A$1:$CB$1,0)),"")</f>
        <v>71000</v>
      </c>
      <c r="AV106" s="38">
        <f>IFERROR(INDEX('Prior Year Data Pull'!$A$2:$CB$593,MATCH(C106,'Prior Year Data Pull'!$A$2:$A$593,0),MATCH("Salary and Benefit Expense",'Prior Year Data Pull'!$A$1:$CB$1,0)),"")</f>
        <v>448842000</v>
      </c>
    </row>
    <row r="107" spans="1:48" ht="34.200000000000003" x14ac:dyDescent="0.3">
      <c r="A107" s="46" t="str">
        <f>IFERROR(INDEX('Static Data Tab'!$N$2:$N$610,MATCH(D107,'Static Data Tab'!$D$2:$D$610,0)), "")</f>
        <v>Beth Israel Lahey Health</v>
      </c>
      <c r="B107" s="46" t="s">
        <v>107</v>
      </c>
      <c r="C107" s="46">
        <v>14422</v>
      </c>
      <c r="D107" s="46">
        <v>16665</v>
      </c>
      <c r="E107" s="46" t="str">
        <f>IFERROR(INDEX('Prior Year Data Pull'!$A$1:$CB$593,MATCH(C107,'Prior Year Data Pull'!$A$1:$A$593,0),MATCH("Organization Type",'Prior Year Data Pull'!$A$1:$CB$1,0)),"")</f>
        <v>PhysicianOrganization</v>
      </c>
      <c r="F107" s="46" t="str">
        <f>IFERROR(INDEX('Static Data Tab'!$E$2:$E$610,MATCH(C107,'Static Data Tab'!$B$2:$B$610,0)), "-")</f>
        <v>-</v>
      </c>
      <c r="G107" s="46" t="str">
        <f>IFERROR(INDEX('Static Data Tab'!$J$2:$J$610,MATCH(C107,'Static Data Tab'!$B$2:$B$610,0)), "")</f>
        <v/>
      </c>
      <c r="H107" s="46" t="str">
        <f>IFERROR(INDEX('Static Data Tab'!$F$2:$F$610,MATCH(C107,'Static Data Tab'!$B$2:$B$610,0)), "")</f>
        <v/>
      </c>
      <c r="I107" s="46" t="str">
        <f>IFERROR(INDEX('Static Data Tab'!$G$2:$G$610,MATCH(C107,'Static Data Tab'!$B$2:$B$610,0)), "")</f>
        <v/>
      </c>
      <c r="J107" s="46" t="str">
        <f>IFERROR(INDEX('Prior Year Data Pull'!$A$2:$CB$593,MATCH(C107,'Prior Year Data Pull'!$A$2:$A$593,0),MATCH("Quarter Range",'Prior Year Data Pull'!$A$1:$CB$1,0)),"")</f>
        <v xml:space="preserve">10/01/2024-09/30/2025
</v>
      </c>
      <c r="K107" s="45">
        <f t="shared" si="13"/>
        <v>-0.37579944784339842</v>
      </c>
      <c r="L107" s="45">
        <f t="shared" si="14"/>
        <v>0</v>
      </c>
      <c r="M107" s="45">
        <f t="shared" si="15"/>
        <v>-0.37579944784339842</v>
      </c>
      <c r="N107" s="47">
        <f t="shared" si="16"/>
        <v>-27088000</v>
      </c>
      <c r="O107" s="265" t="str">
        <f t="shared" si="17"/>
        <v/>
      </c>
      <c r="P107" s="47">
        <f>IFERROR(INDEX('Prior Year Data Pull'!$A$2:$CB$593,MATCH('Prior Year Data Table'!$C107,'Prior Year Data Pull'!$A$2:$A$593,0),MATCH("Total Net Assets or Equity",'Prior Year Data Pull'!$A$1:$CB$1,0)),"")</f>
        <v>0</v>
      </c>
      <c r="Q107" s="47">
        <f>IFERROR(INDEX('Prior Year Data Pull'!$A$2:$CB$593,MATCH('Prior Year Data Table'!$C107,'Prior Year Data Pull'!$A$2:$A$593,0),MATCH("Total Operating Revenue",'Prior Year Data Pull'!$A$1:$CB$1,0)),"")</f>
        <v>72081000</v>
      </c>
      <c r="R107" s="47">
        <f>IFERROR(INDEX('Prior Year Data Pull'!$A$2:$CB$593,MATCH('Prior Year Data Table'!$C107,'Prior Year Data Pull'!$A$2:$A$593,0),MATCH("Total Unrestricted Revenue Gains and Other Support",'Prior Year Data Pull'!$A$1:$CB$1,0)),"")</f>
        <v>72081000</v>
      </c>
      <c r="S107" s="47">
        <f>IFERROR(INDEX('Prior Year TS Data Pull'!$K$2:$K$607,MATCH(C107,'Prior Year TS Data Pull'!$A$2:$A$607,0))+INDEX('Prior Year TS Data Pull'!$O$2:$O$119,MATCH(C107,'Prior Year TS Data Pull'!$A$2:$A$607,0))+INDEX('Prior Year TS Data Pull'!$S$2:$S$119,MATCH(C107,'Prior Year TS Data Pull'!$A$2:$A$607,0)),"")</f>
        <v>0</v>
      </c>
      <c r="T107" s="47">
        <f>IF(INDEX('Prior Year TS Data Pull'!$A$1:$O$607,MATCH(C107,'Prior Year TS Data Pull'!$A$1:$A$607,0),MATCH("Temporary RN Staffing:
Line Reported on in Standardized Financials",'Prior Year TS Data Pull'!$A$1:$O$1,0))="66.1: Salary and Benefit Expense",'Prior Year Data Table'!$AV107-'Prior Year Data Table'!$S107,0)</f>
        <v>69531000</v>
      </c>
      <c r="U107" s="47">
        <f>IFERROR(INDEX('Prior Year Data Pull'!$A$2:$CB$593,MATCH(C107,'Prior Year Data Pull'!$A$2:$A$593,0),MATCH("Total Expenses Including Nonrecurring Gains Losses",'Prior Year Data Pull'!$A$1:$CB$1,0)),"")</f>
        <v>99169000</v>
      </c>
      <c r="V107" s="266">
        <f t="shared" si="18"/>
        <v>0</v>
      </c>
      <c r="W107" s="266">
        <f t="shared" si="19"/>
        <v>0</v>
      </c>
      <c r="X107" s="266">
        <f t="shared" si="20"/>
        <v>0</v>
      </c>
      <c r="Y107" s="45" t="str">
        <f t="shared" si="21"/>
        <v/>
      </c>
      <c r="Z107" s="266">
        <f t="shared" si="22"/>
        <v>0</v>
      </c>
      <c r="AA107" s="265" t="str">
        <f t="shared" si="23"/>
        <v/>
      </c>
      <c r="AB107" s="45" t="str">
        <f t="shared" si="24"/>
        <v/>
      </c>
      <c r="AC107" s="45" t="str">
        <f t="shared" si="25"/>
        <v/>
      </c>
      <c r="AD107" s="47">
        <f>IFERROR(INDEX('Prior Year Data Pull'!$A$2:$CB$593,MATCH(C107,'Prior Year Data Pull'!$A$2:$A$593,0),MATCH("Net Patient Service Revenue",'Prior Year Data Pull'!$A$1:$CB$1,0)),"")</f>
        <v>67540000</v>
      </c>
      <c r="AE107" s="47">
        <f>IFERROR(INDEX('Prior Year Data Pull'!$A$2:$CB$593,MATCH(C107,'Prior Year Data Pull'!$A$2:$A$593,0),MATCH("Total Current Assets",'Prior Year Data Pull'!$A$1:$CB$1,0)),"")</f>
        <v>0</v>
      </c>
      <c r="AF107" s="47">
        <f>IFERROR(INDEX('Prior Year Data Pull'!$A$2:$CB$593,MATCH(C107,'Prior Year Data Pull'!$A$2:$A$593,0),MATCH("Total Current Liabilities",'Prior Year Data Pull'!$A$1:$CB$1,0)),"")</f>
        <v>0</v>
      </c>
      <c r="AG107" s="47">
        <f>IFERROR(INDEX('Prior Year Data Pull'!$A$2:$CB$593,MATCH(C107,'Prior Year Data Pull'!$A$2:$A$593,0),MATCH("Total Non Operating Revenue",'Prior Year Data Pull'!$A$1:$CB$1,0)),"")</f>
        <v>0</v>
      </c>
      <c r="AH107" s="47">
        <f>IFERROR(INDEX('Prior Year Data Pull'!$A$2:$CB$593,MATCH(C107,'Prior Year Data Pull'!$A$2:$A$593,0),MATCH("Less Accumulated Depreciation",'Prior Year Data Pull'!$A$1:$CB$1,0)),"")</f>
        <v>0</v>
      </c>
      <c r="AI107" s="47">
        <f>IFERROR(INDEX('Prior Year Data Pull'!$A$2:$CB$593,MATCH(C107,'Prior Year Data Pull'!$A$2:$A$593,0),MATCH("Depreciation and Amortization Expense",'Prior Year Data Pull'!$A$1:$CB$1,0)),"")</f>
        <v>1393000</v>
      </c>
      <c r="AJ107" s="47">
        <f>IFERROR(INDEX('Prior Year Data Pull'!$A$2:$CB$593,MATCH(C107,'Prior Year Data Pull'!$A$2:$A$593,0),MATCH("Net Patient Accounts Receivable",'Prior Year Data Pull'!$A$1:$CB$1,0)),"")</f>
        <v>0</v>
      </c>
      <c r="AK107" s="46">
        <v>365</v>
      </c>
      <c r="AL107" s="47">
        <f>IFERROR(INDEX('Prior Year Data Pull'!$A$2:$CB$593,MATCH(C107,'Prior Year Data Pull'!$A$2:$A$593,0),MATCH("Estimated Third Party Settlements",'Prior Year Data Pull'!$A$1:$CB$1,0)),"")</f>
        <v>0</v>
      </c>
      <c r="AM107" s="47">
        <f>IFERROR(INDEX('Prior Year Data Pull'!$A$2:$CB$593,MATCH(C107,'Prior Year Data Pull'!$A$2:$A$593,0),MATCH("Current Liabilities due to Affiliates",'Prior Year Data Pull'!$A$1:$CB$1,0)),"")</f>
        <v>0</v>
      </c>
      <c r="AN107" s="47">
        <f>IFERROR(INDEX('Prior Year Data Pull'!$A$2:$CB$593,MATCH(C107,'Prior Year Data Pull'!$A$2:$A$593,0),MATCH("Short Term Investments",'Prior Year Data Pull'!$A$1:$CB$1,0)),"")</f>
        <v>0</v>
      </c>
      <c r="AO107" s="47">
        <f>IFERROR(INDEX('Prior Year Data Pull'!$A$2:$CB$593,MATCH(C107,'Prior Year Data Pull'!$A$2:$A$593,0),MATCH("Cash and Cash Equivalents",'Prior Year Data Pull'!$A$1:$CB$1,0)),"")</f>
        <v>0</v>
      </c>
      <c r="AP107" s="47">
        <f>IFERROR(INDEX('Prior Year Data Pull'!$A$2:$CB$593,MATCH(C107,'Prior Year Data Pull'!$A$2:$A$593,0),MATCH("Interest Expense",'Prior Year Data Pull'!$A$1:$CB$1,0)),"")</f>
        <v>0</v>
      </c>
      <c r="AQ107" s="47">
        <f>IFERROR(INDEX('Prior Year Data Pull'!$A$2:$CB$593,MATCH(C107,'Prior Year Data Pull'!$A$2:$A$593,0),MATCH("Long Term Debt Net of Current Portion",'Prior Year Data Pull'!$A$1:$CB$1,0)),"")</f>
        <v>0</v>
      </c>
      <c r="AR107" s="47">
        <f>IFERROR(INDEX('Prior Year Data Pull'!$A$2:$CB$593,MATCH(C107,'Prior Year Data Pull'!$A$2:$A$593,0),MATCH("Total Assets",'Prior Year Data Pull'!$A$1:$CB$1,0)),"")</f>
        <v>0</v>
      </c>
      <c r="AS107" s="47">
        <f>IFERROR(INDEX('Prior Year Data Pull'!$A$2:$CB$593,MATCH(C107,'Prior Year Data Pull'!$A$2:$A$593,0),MATCH("Long Term Debt Net of Current Portion",'Prior Year Data Pull'!$A$1:$CB$1,0)),"")</f>
        <v>0</v>
      </c>
      <c r="AT107" s="47">
        <f>IFERROR(INDEX('Prior Year Data Pull'!$A$2:$CB$593,MATCH(C107,'Prior Year Data Pull'!$A$2:$A$593,0),MATCH("Net Unrestricted Assets",'Prior Year Data Pull'!$A$1:$CB$1,0)),"")</f>
        <v>0</v>
      </c>
      <c r="AU107" s="47">
        <f>IFERROR(INDEX('Prior Year Data Pull'!$A$2:$CB$593,MATCH(C107,'Prior Year Data Pull'!$A$2:$A$593,0),MATCH("Unrealized Gains/Losses",'Prior Year Data Pull'!$A$1:$CB$1,0)),"")</f>
        <v>0</v>
      </c>
      <c r="AV107" s="47">
        <f>IFERROR(INDEX('Prior Year Data Pull'!$A$2:$CB$593,MATCH(C107,'Prior Year Data Pull'!$A$2:$A$593,0),MATCH("Salary and Benefit Expense",'Prior Year Data Pull'!$A$1:$CB$1,0)),"")</f>
        <v>69531000</v>
      </c>
    </row>
    <row r="108" spans="1:48" ht="34.200000000000003" x14ac:dyDescent="0.3">
      <c r="A108" s="14" t="str">
        <f>IFERROR(INDEX('Static Data Tab'!$N$2:$N$610,MATCH(D108,'Static Data Tab'!$D$2:$D$610,0)), "")</f>
        <v>Mass General Brigham</v>
      </c>
      <c r="B108" s="14" t="s">
        <v>153</v>
      </c>
      <c r="C108" s="14">
        <v>14423</v>
      </c>
      <c r="D108" s="14">
        <v>3791</v>
      </c>
      <c r="E108" s="14" t="str">
        <f>IFERROR(INDEX('Prior Year Data Pull'!$A$1:$CB$593,MATCH(C108,'Prior Year Data Pull'!$A$1:$A$593,0),MATCH("Organization Type",'Prior Year Data Pull'!$A$1:$CB$1,0)),"")</f>
        <v>PhysicianOrganization</v>
      </c>
      <c r="F108" s="14" t="str">
        <f>IFERROR(INDEX('Static Data Tab'!$E$2:$E$610,MATCH(C108,'Static Data Tab'!$B$2:$B$610,0)), "-")</f>
        <v>-</v>
      </c>
      <c r="G108" s="14" t="str">
        <f>IFERROR(INDEX('Static Data Tab'!$J$2:$J$610,MATCH(C108,'Static Data Tab'!$B$2:$B$610,0)), "")</f>
        <v/>
      </c>
      <c r="H108" s="14" t="str">
        <f>IFERROR(INDEX('Static Data Tab'!$F$2:$F$610,MATCH(C108,'Static Data Tab'!$B$2:$B$610,0)), "")</f>
        <v/>
      </c>
      <c r="I108" s="14" t="str">
        <f>IFERROR(INDEX('Static Data Tab'!$G$2:$G$610,MATCH(C108,'Static Data Tab'!$B$2:$B$610,0)), "")</f>
        <v/>
      </c>
      <c r="J108" s="14" t="str">
        <f>IFERROR(INDEX('Prior Year Data Pull'!$A$2:$CB$593,MATCH(C108,'Prior Year Data Pull'!$A$2:$A$593,0),MATCH("Quarter Range",'Prior Year Data Pull'!$A$1:$CB$1,0)),"")</f>
        <v xml:space="preserve">10/01/2024-09/30/2025
</v>
      </c>
      <c r="K108" s="37">
        <f t="shared" si="13"/>
        <v>1.6691732115338198E-2</v>
      </c>
      <c r="L108" s="37">
        <f t="shared" si="14"/>
        <v>1.4022726006795522E-2</v>
      </c>
      <c r="M108" s="37">
        <f t="shared" si="15"/>
        <v>3.071445812213372E-2</v>
      </c>
      <c r="N108" s="38">
        <f t="shared" si="16"/>
        <v>6617000</v>
      </c>
      <c r="O108" s="39" t="str">
        <f t="shared" si="17"/>
        <v/>
      </c>
      <c r="P108" s="38">
        <f>IFERROR(INDEX('Prior Year Data Pull'!$A$2:$CB$593,MATCH('Prior Year Data Table'!$C108,'Prior Year Data Pull'!$A$2:$A$593,0),MATCH("Total Net Assets or Equity",'Prior Year Data Pull'!$A$1:$CB$1,0)),"")</f>
        <v>0</v>
      </c>
      <c r="Q108" s="38">
        <f>IFERROR(INDEX('Prior Year Data Pull'!$A$2:$CB$593,MATCH('Prior Year Data Table'!$C108,'Prior Year Data Pull'!$A$2:$A$593,0),MATCH("Total Operating Revenue",'Prior Year Data Pull'!$A$1:$CB$1,0)),"")</f>
        <v>212415000</v>
      </c>
      <c r="R108" s="38">
        <f>IFERROR(INDEX('Prior Year Data Pull'!$A$2:$CB$593,MATCH('Prior Year Data Table'!$C108,'Prior Year Data Pull'!$A$2:$A$593,0),MATCH("Total Unrestricted Revenue Gains and Other Support",'Prior Year Data Pull'!$A$1:$CB$1,0)),"")</f>
        <v>215436000</v>
      </c>
      <c r="S108" s="38">
        <f>IFERROR(INDEX('Prior Year TS Data Pull'!$K$2:$K$607,MATCH(C108,'Prior Year TS Data Pull'!$A$2:$A$607,0))+INDEX('Prior Year TS Data Pull'!$O$2:$O$119,MATCH(C108,'Prior Year TS Data Pull'!$A$2:$A$607,0))+INDEX('Prior Year TS Data Pull'!$S$2:$S$119,MATCH(C108,'Prior Year TS Data Pull'!$A$2:$A$607,0)),"")</f>
        <v>136899.70213836478</v>
      </c>
      <c r="T108" s="38">
        <f>IF(INDEX('Prior Year TS Data Pull'!$A$1:$O$607,MATCH(C108,'Prior Year TS Data Pull'!$A$1:$A$607,0),MATCH("Temporary RN Staffing:
Line Reported on in Standardized Financials",'Prior Year TS Data Pull'!$A$1:$O$1,0))="66.1: Salary and Benefit Expense",'Prior Year Data Table'!$AV108-'Prior Year Data Table'!$S108,0)</f>
        <v>0</v>
      </c>
      <c r="U108" s="38">
        <f>IFERROR(INDEX('Prior Year Data Pull'!$A$2:$CB$593,MATCH(C108,'Prior Year Data Pull'!$A$2:$A$593,0),MATCH("Total Expenses Including Nonrecurring Gains Losses",'Prior Year Data Pull'!$A$1:$CB$1,0)),"")</f>
        <v>208819000</v>
      </c>
      <c r="V108" s="41">
        <f t="shared" si="18"/>
        <v>0</v>
      </c>
      <c r="W108" s="41">
        <f t="shared" si="19"/>
        <v>0</v>
      </c>
      <c r="X108" s="41">
        <f t="shared" si="20"/>
        <v>0</v>
      </c>
      <c r="Y108" s="37" t="str">
        <f t="shared" si="21"/>
        <v/>
      </c>
      <c r="Z108" s="41">
        <f t="shared" si="22"/>
        <v>0</v>
      </c>
      <c r="AA108" s="39">
        <f t="shared" si="23"/>
        <v>8472</v>
      </c>
      <c r="AB108" s="37" t="str">
        <f t="shared" si="24"/>
        <v/>
      </c>
      <c r="AC108" s="37" t="str">
        <f t="shared" si="25"/>
        <v/>
      </c>
      <c r="AD108" s="38">
        <f>IFERROR(INDEX('Prior Year Data Pull'!$A$2:$CB$593,MATCH(C108,'Prior Year Data Pull'!$A$2:$A$593,0),MATCH("Net Patient Service Revenue",'Prior Year Data Pull'!$A$1:$CB$1,0)),"")</f>
        <v>181774000</v>
      </c>
      <c r="AE108" s="38">
        <f>IFERROR(INDEX('Prior Year Data Pull'!$A$2:$CB$593,MATCH(C108,'Prior Year Data Pull'!$A$2:$A$593,0),MATCH("Total Current Assets",'Prior Year Data Pull'!$A$1:$CB$1,0)),"")</f>
        <v>0</v>
      </c>
      <c r="AF108" s="38">
        <f>IFERROR(INDEX('Prior Year Data Pull'!$A$2:$CB$593,MATCH(C108,'Prior Year Data Pull'!$A$2:$A$593,0),MATCH("Total Current Liabilities",'Prior Year Data Pull'!$A$1:$CB$1,0)),"")</f>
        <v>0</v>
      </c>
      <c r="AG108" s="38">
        <f>IFERROR(INDEX('Prior Year Data Pull'!$A$2:$CB$593,MATCH(C108,'Prior Year Data Pull'!$A$2:$A$593,0),MATCH("Total Non Operating Revenue",'Prior Year Data Pull'!$A$1:$CB$1,0)),"")</f>
        <v>3021000</v>
      </c>
      <c r="AH108" s="38">
        <f>IFERROR(INDEX('Prior Year Data Pull'!$A$2:$CB$593,MATCH(C108,'Prior Year Data Pull'!$A$2:$A$593,0),MATCH("Less Accumulated Depreciation",'Prior Year Data Pull'!$A$1:$CB$1,0)),"")</f>
        <v>0</v>
      </c>
      <c r="AI108" s="38">
        <f>IFERROR(INDEX('Prior Year Data Pull'!$A$2:$CB$593,MATCH(C108,'Prior Year Data Pull'!$A$2:$A$593,0),MATCH("Depreciation and Amortization Expense",'Prior Year Data Pull'!$A$1:$CB$1,0)),"")</f>
        <v>992000</v>
      </c>
      <c r="AJ108" s="38">
        <f>IFERROR(INDEX('Prior Year Data Pull'!$A$2:$CB$593,MATCH(C108,'Prior Year Data Pull'!$A$2:$A$593,0),MATCH("Net Patient Accounts Receivable",'Prior Year Data Pull'!$A$1:$CB$1,0)),"")</f>
        <v>0</v>
      </c>
      <c r="AK108" s="14">
        <v>365</v>
      </c>
      <c r="AL108" s="38">
        <f>IFERROR(INDEX('Prior Year Data Pull'!$A$2:$CB$593,MATCH(C108,'Prior Year Data Pull'!$A$2:$A$593,0),MATCH("Estimated Third Party Settlements",'Prior Year Data Pull'!$A$1:$CB$1,0)),"")</f>
        <v>0</v>
      </c>
      <c r="AM108" s="38">
        <f>IFERROR(INDEX('Prior Year Data Pull'!$A$2:$CB$593,MATCH(C108,'Prior Year Data Pull'!$A$2:$A$593,0),MATCH("Current Liabilities due to Affiliates",'Prior Year Data Pull'!$A$1:$CB$1,0)),"")</f>
        <v>0</v>
      </c>
      <c r="AN108" s="38">
        <f>IFERROR(INDEX('Prior Year Data Pull'!$A$2:$CB$593,MATCH(C108,'Prior Year Data Pull'!$A$2:$A$593,0),MATCH("Short Term Investments",'Prior Year Data Pull'!$A$1:$CB$1,0)),"")</f>
        <v>0</v>
      </c>
      <c r="AO108" s="38">
        <f>IFERROR(INDEX('Prior Year Data Pull'!$A$2:$CB$593,MATCH(C108,'Prior Year Data Pull'!$A$2:$A$593,0),MATCH("Cash and Cash Equivalents",'Prior Year Data Pull'!$A$1:$CB$1,0)),"")</f>
        <v>0</v>
      </c>
      <c r="AP108" s="38">
        <f>IFERROR(INDEX('Prior Year Data Pull'!$A$2:$CB$593,MATCH(C108,'Prior Year Data Pull'!$A$2:$A$593,0),MATCH("Interest Expense",'Prior Year Data Pull'!$A$1:$CB$1,0)),"")</f>
        <v>1000</v>
      </c>
      <c r="AQ108" s="38">
        <f>IFERROR(INDEX('Prior Year Data Pull'!$A$2:$CB$593,MATCH(C108,'Prior Year Data Pull'!$A$2:$A$593,0),MATCH("Long Term Debt Net of Current Portion",'Prior Year Data Pull'!$A$1:$CB$1,0)),"")</f>
        <v>0</v>
      </c>
      <c r="AR108" s="38">
        <f>IFERROR(INDEX('Prior Year Data Pull'!$A$2:$CB$593,MATCH(C108,'Prior Year Data Pull'!$A$2:$A$593,0),MATCH("Total Assets",'Prior Year Data Pull'!$A$1:$CB$1,0)),"")</f>
        <v>0</v>
      </c>
      <c r="AS108" s="38">
        <f>IFERROR(INDEX('Prior Year Data Pull'!$A$2:$CB$593,MATCH(C108,'Prior Year Data Pull'!$A$2:$A$593,0),MATCH("Long Term Debt Net of Current Portion",'Prior Year Data Pull'!$A$1:$CB$1,0)),"")</f>
        <v>0</v>
      </c>
      <c r="AT108" s="38">
        <f>IFERROR(INDEX('Prior Year Data Pull'!$A$2:$CB$593,MATCH(C108,'Prior Year Data Pull'!$A$2:$A$593,0),MATCH("Net Unrestricted Assets",'Prior Year Data Pull'!$A$1:$CB$1,0)),"")</f>
        <v>0</v>
      </c>
      <c r="AU108" s="38">
        <f>IFERROR(INDEX('Prior Year Data Pull'!$A$2:$CB$593,MATCH(C108,'Prior Year Data Pull'!$A$2:$A$593,0),MATCH("Unrealized Gains/Losses",'Prior Year Data Pull'!$A$1:$CB$1,0)),"")</f>
        <v>-862000</v>
      </c>
      <c r="AV108" s="38">
        <f>IFERROR(INDEX('Prior Year Data Pull'!$A$2:$CB$593,MATCH(C108,'Prior Year Data Pull'!$A$2:$A$593,0),MATCH("Salary and Benefit Expense",'Prior Year Data Pull'!$A$1:$CB$1,0)),"")</f>
        <v>177613000</v>
      </c>
    </row>
    <row r="109" spans="1:48" ht="34.200000000000003" x14ac:dyDescent="0.3">
      <c r="A109" s="46" t="str">
        <f>IFERROR(INDEX('Static Data Tab'!$N$2:$N$610,MATCH(D109,'Static Data Tab'!$D$2:$D$610,0)), "")</f>
        <v>Trinity Health</v>
      </c>
      <c r="B109" s="46" t="s">
        <v>186</v>
      </c>
      <c r="C109" s="46">
        <v>14424</v>
      </c>
      <c r="D109" s="46">
        <v>14288</v>
      </c>
      <c r="E109" s="46" t="str">
        <f>IFERROR(INDEX('Prior Year Data Pull'!$A$1:$CB$593,MATCH(C109,'Prior Year Data Pull'!$A$1:$A$593,0),MATCH("Organization Type",'Prior Year Data Pull'!$A$1:$CB$1,0)),"")</f>
        <v>PhysicianOrganization</v>
      </c>
      <c r="F109" s="46" t="str">
        <f>IFERROR(INDEX('Static Data Tab'!$E$2:$E$610,MATCH(C109,'Static Data Tab'!$B$2:$B$610,0)), "-")</f>
        <v>-</v>
      </c>
      <c r="G109" s="46" t="str">
        <f>IFERROR(INDEX('Static Data Tab'!$J$2:$J$610,MATCH(C109,'Static Data Tab'!$B$2:$B$610,0)), "")</f>
        <v/>
      </c>
      <c r="H109" s="46" t="str">
        <f>IFERROR(INDEX('Static Data Tab'!$F$2:$F$610,MATCH(C109,'Static Data Tab'!$B$2:$B$610,0)), "")</f>
        <v/>
      </c>
      <c r="I109" s="46" t="str">
        <f>IFERROR(INDEX('Static Data Tab'!$G$2:$G$610,MATCH(C109,'Static Data Tab'!$B$2:$B$610,0)), "")</f>
        <v/>
      </c>
      <c r="J109" s="46" t="str">
        <f>IFERROR(INDEX('Prior Year Data Pull'!$A$2:$CB$593,MATCH(C109,'Prior Year Data Pull'!$A$2:$A$593,0),MATCH("Quarter Range",'Prior Year Data Pull'!$A$1:$CB$1,0)),"")</f>
        <v xml:space="preserve">07/01/2024-06/30/2025
</v>
      </c>
      <c r="K109" s="45">
        <f t="shared" si="13"/>
        <v>-2.1120674010538751</v>
      </c>
      <c r="L109" s="45">
        <f t="shared" si="14"/>
        <v>0</v>
      </c>
      <c r="M109" s="45">
        <f t="shared" si="15"/>
        <v>-2.1120674010538751</v>
      </c>
      <c r="N109" s="47">
        <f t="shared" si="16"/>
        <v>-9717865</v>
      </c>
      <c r="O109" s="265" t="str">
        <f t="shared" si="17"/>
        <v/>
      </c>
      <c r="P109" s="47">
        <f>IFERROR(INDEX('Prior Year Data Pull'!$A$2:$CB$593,MATCH('Prior Year Data Table'!$C109,'Prior Year Data Pull'!$A$2:$A$593,0),MATCH("Total Net Assets or Equity",'Prior Year Data Pull'!$A$1:$CB$1,0)),"")</f>
        <v>0</v>
      </c>
      <c r="Q109" s="47">
        <f>IFERROR(INDEX('Prior Year Data Pull'!$A$2:$CB$593,MATCH('Prior Year Data Table'!$C109,'Prior Year Data Pull'!$A$2:$A$593,0),MATCH("Total Operating Revenue",'Prior Year Data Pull'!$A$1:$CB$1,0)),"")</f>
        <v>4601115</v>
      </c>
      <c r="R109" s="47">
        <f>IFERROR(INDEX('Prior Year Data Pull'!$A$2:$CB$593,MATCH('Prior Year Data Table'!$C109,'Prior Year Data Pull'!$A$2:$A$593,0),MATCH("Total Unrestricted Revenue Gains and Other Support",'Prior Year Data Pull'!$A$1:$CB$1,0)),"")</f>
        <v>4601115</v>
      </c>
      <c r="S109" s="47">
        <f>IFERROR(INDEX('Prior Year TS Data Pull'!$K$2:$K$607,MATCH(C109,'Prior Year TS Data Pull'!$A$2:$A$607,0))+INDEX('Prior Year TS Data Pull'!$O$2:$O$119,MATCH(C109,'Prior Year TS Data Pull'!$A$2:$A$607,0))+INDEX('Prior Year TS Data Pull'!$S$2:$S$119,MATCH(C109,'Prior Year TS Data Pull'!$A$2:$A$607,0)),"")</f>
        <v>672696</v>
      </c>
      <c r="T109" s="47">
        <f>IF(INDEX('Prior Year TS Data Pull'!$A$1:$O$607,MATCH(C109,'Prior Year TS Data Pull'!$A$1:$A$607,0),MATCH("Temporary RN Staffing:
Line Reported on in Standardized Financials",'Prior Year TS Data Pull'!$A$1:$O$1,0))="66.1: Salary and Benefit Expense",'Prior Year Data Table'!$AV109-'Prior Year Data Table'!$S109,0)</f>
        <v>0</v>
      </c>
      <c r="U109" s="47">
        <f>IFERROR(INDEX('Prior Year Data Pull'!$A$2:$CB$593,MATCH(C109,'Prior Year Data Pull'!$A$2:$A$593,0),MATCH("Total Expenses Including Nonrecurring Gains Losses",'Prior Year Data Pull'!$A$1:$CB$1,0)),"")</f>
        <v>14318980</v>
      </c>
      <c r="V109" s="266">
        <f t="shared" si="18"/>
        <v>0</v>
      </c>
      <c r="W109" s="266">
        <f t="shared" si="19"/>
        <v>0</v>
      </c>
      <c r="X109" s="266">
        <f t="shared" si="20"/>
        <v>0</v>
      </c>
      <c r="Y109" s="45" t="str">
        <f t="shared" si="21"/>
        <v/>
      </c>
      <c r="Z109" s="266">
        <f t="shared" si="22"/>
        <v>0</v>
      </c>
      <c r="AA109" s="265">
        <f t="shared" si="23"/>
        <v>42118.678260869565</v>
      </c>
      <c r="AB109" s="45" t="str">
        <f t="shared" si="24"/>
        <v/>
      </c>
      <c r="AC109" s="45" t="str">
        <f t="shared" si="25"/>
        <v/>
      </c>
      <c r="AD109" s="47">
        <f>IFERROR(INDEX('Prior Year Data Pull'!$A$2:$CB$593,MATCH(C109,'Prior Year Data Pull'!$A$2:$A$593,0),MATCH("Net Patient Service Revenue",'Prior Year Data Pull'!$A$1:$CB$1,0)),"")</f>
        <v>3041793</v>
      </c>
      <c r="AE109" s="47">
        <f>IFERROR(INDEX('Prior Year Data Pull'!$A$2:$CB$593,MATCH(C109,'Prior Year Data Pull'!$A$2:$A$593,0),MATCH("Total Current Assets",'Prior Year Data Pull'!$A$1:$CB$1,0)),"")</f>
        <v>0</v>
      </c>
      <c r="AF109" s="47">
        <f>IFERROR(INDEX('Prior Year Data Pull'!$A$2:$CB$593,MATCH(C109,'Prior Year Data Pull'!$A$2:$A$593,0),MATCH("Total Current Liabilities",'Prior Year Data Pull'!$A$1:$CB$1,0)),"")</f>
        <v>0</v>
      </c>
      <c r="AG109" s="47">
        <f>IFERROR(INDEX('Prior Year Data Pull'!$A$2:$CB$593,MATCH(C109,'Prior Year Data Pull'!$A$2:$A$593,0),MATCH("Total Non Operating Revenue",'Prior Year Data Pull'!$A$1:$CB$1,0)),"")</f>
        <v>0</v>
      </c>
      <c r="AH109" s="47">
        <f>IFERROR(INDEX('Prior Year Data Pull'!$A$2:$CB$593,MATCH(C109,'Prior Year Data Pull'!$A$2:$A$593,0),MATCH("Less Accumulated Depreciation",'Prior Year Data Pull'!$A$1:$CB$1,0)),"")</f>
        <v>0</v>
      </c>
      <c r="AI109" s="47">
        <f>IFERROR(INDEX('Prior Year Data Pull'!$A$2:$CB$593,MATCH(C109,'Prior Year Data Pull'!$A$2:$A$593,0),MATCH("Depreciation and Amortization Expense",'Prior Year Data Pull'!$A$1:$CB$1,0)),"")</f>
        <v>30799</v>
      </c>
      <c r="AJ109" s="47">
        <f>IFERROR(INDEX('Prior Year Data Pull'!$A$2:$CB$593,MATCH(C109,'Prior Year Data Pull'!$A$2:$A$593,0),MATCH("Net Patient Accounts Receivable",'Prior Year Data Pull'!$A$1:$CB$1,0)),"")</f>
        <v>0</v>
      </c>
      <c r="AK109" s="46">
        <v>365</v>
      </c>
      <c r="AL109" s="47">
        <f>IFERROR(INDEX('Prior Year Data Pull'!$A$2:$CB$593,MATCH(C109,'Prior Year Data Pull'!$A$2:$A$593,0),MATCH("Estimated Third Party Settlements",'Prior Year Data Pull'!$A$1:$CB$1,0)),"")</f>
        <v>0</v>
      </c>
      <c r="AM109" s="47">
        <f>IFERROR(INDEX('Prior Year Data Pull'!$A$2:$CB$593,MATCH(C109,'Prior Year Data Pull'!$A$2:$A$593,0),MATCH("Current Liabilities due to Affiliates",'Prior Year Data Pull'!$A$1:$CB$1,0)),"")</f>
        <v>0</v>
      </c>
      <c r="AN109" s="47">
        <f>IFERROR(INDEX('Prior Year Data Pull'!$A$2:$CB$593,MATCH(C109,'Prior Year Data Pull'!$A$2:$A$593,0),MATCH("Short Term Investments",'Prior Year Data Pull'!$A$1:$CB$1,0)),"")</f>
        <v>0</v>
      </c>
      <c r="AO109" s="47">
        <f>IFERROR(INDEX('Prior Year Data Pull'!$A$2:$CB$593,MATCH(C109,'Prior Year Data Pull'!$A$2:$A$593,0),MATCH("Cash and Cash Equivalents",'Prior Year Data Pull'!$A$1:$CB$1,0)),"")</f>
        <v>0</v>
      </c>
      <c r="AP109" s="47">
        <f>IFERROR(INDEX('Prior Year Data Pull'!$A$2:$CB$593,MATCH(C109,'Prior Year Data Pull'!$A$2:$A$593,0),MATCH("Interest Expense",'Prior Year Data Pull'!$A$1:$CB$1,0)),"")</f>
        <v>-230</v>
      </c>
      <c r="AQ109" s="47">
        <f>IFERROR(INDEX('Prior Year Data Pull'!$A$2:$CB$593,MATCH(C109,'Prior Year Data Pull'!$A$2:$A$593,0),MATCH("Long Term Debt Net of Current Portion",'Prior Year Data Pull'!$A$1:$CB$1,0)),"")</f>
        <v>0</v>
      </c>
      <c r="AR109" s="47">
        <f>IFERROR(INDEX('Prior Year Data Pull'!$A$2:$CB$593,MATCH(C109,'Prior Year Data Pull'!$A$2:$A$593,0),MATCH("Total Assets",'Prior Year Data Pull'!$A$1:$CB$1,0)),"")</f>
        <v>0</v>
      </c>
      <c r="AS109" s="47">
        <f>IFERROR(INDEX('Prior Year Data Pull'!$A$2:$CB$593,MATCH(C109,'Prior Year Data Pull'!$A$2:$A$593,0),MATCH("Long Term Debt Net of Current Portion",'Prior Year Data Pull'!$A$1:$CB$1,0)),"")</f>
        <v>0</v>
      </c>
      <c r="AT109" s="47">
        <f>IFERROR(INDEX('Prior Year Data Pull'!$A$2:$CB$593,MATCH(C109,'Prior Year Data Pull'!$A$2:$A$593,0),MATCH("Net Unrestricted Assets",'Prior Year Data Pull'!$A$1:$CB$1,0)),"")</f>
        <v>0</v>
      </c>
      <c r="AU109" s="47">
        <f>IFERROR(INDEX('Prior Year Data Pull'!$A$2:$CB$593,MATCH(C109,'Prior Year Data Pull'!$A$2:$A$593,0),MATCH("Unrealized Gains/Losses",'Prior Year Data Pull'!$A$1:$CB$1,0)),"")</f>
        <v>0</v>
      </c>
      <c r="AV109" s="47">
        <f>IFERROR(INDEX('Prior Year Data Pull'!$A$2:$CB$593,MATCH(C109,'Prior Year Data Pull'!$A$2:$A$593,0),MATCH("Salary and Benefit Expense",'Prior Year Data Pull'!$A$1:$CB$1,0)),"")</f>
        <v>1877481</v>
      </c>
    </row>
    <row r="110" spans="1:48" ht="34.200000000000003" x14ac:dyDescent="0.3">
      <c r="A110" s="14" t="str">
        <f>IFERROR(INDEX('Static Data Tab'!$N$2:$N$610,MATCH(D110,'Static Data Tab'!$D$2:$D$610,0)), "")</f>
        <v>Boston Children's Hospital and Subsid.</v>
      </c>
      <c r="B110" s="14" t="s">
        <v>116</v>
      </c>
      <c r="C110" s="14">
        <v>14426</v>
      </c>
      <c r="D110" s="14">
        <v>14286</v>
      </c>
      <c r="E110" s="14" t="str">
        <f>IFERROR(INDEX('Prior Year Data Pull'!$A$1:$CB$593,MATCH(C110,'Prior Year Data Pull'!$A$1:$A$593,0),MATCH("Organization Type",'Prior Year Data Pull'!$A$1:$CB$1,0)),"")</f>
        <v>PhysicianOrganization</v>
      </c>
      <c r="F110" s="14" t="str">
        <f>IFERROR(INDEX('Static Data Tab'!$E$2:$E$610,MATCH(C110,'Static Data Tab'!$B$2:$B$610,0)), "-")</f>
        <v>-</v>
      </c>
      <c r="G110" s="14" t="str">
        <f>IFERROR(INDEX('Static Data Tab'!$J$2:$J$610,MATCH(C110,'Static Data Tab'!$B$2:$B$610,0)), "")</f>
        <v/>
      </c>
      <c r="H110" s="14" t="str">
        <f>IFERROR(INDEX('Static Data Tab'!$F$2:$F$610,MATCH(C110,'Static Data Tab'!$B$2:$B$610,0)), "")</f>
        <v/>
      </c>
      <c r="I110" s="14" t="str">
        <f>IFERROR(INDEX('Static Data Tab'!$G$2:$G$610,MATCH(C110,'Static Data Tab'!$B$2:$B$610,0)), "")</f>
        <v/>
      </c>
      <c r="J110" s="14" t="str">
        <f>IFERROR(INDEX('Prior Year Data Pull'!$A$2:$CB$593,MATCH(C110,'Prior Year Data Pull'!$A$2:$A$593,0),MATCH("Quarter Range",'Prior Year Data Pull'!$A$1:$CB$1,0)),"")</f>
        <v xml:space="preserve">10/01/2024-09/30/2025
</v>
      </c>
      <c r="K110" s="37">
        <f t="shared" si="13"/>
        <v>2.4155864787070273E-2</v>
      </c>
      <c r="L110" s="37">
        <f t="shared" si="14"/>
        <v>0.10732535753055227</v>
      </c>
      <c r="M110" s="37">
        <f t="shared" si="15"/>
        <v>0.13148122231762255</v>
      </c>
      <c r="N110" s="38">
        <f t="shared" si="16"/>
        <v>173807000</v>
      </c>
      <c r="O110" s="39" t="str">
        <f t="shared" si="17"/>
        <v/>
      </c>
      <c r="P110" s="38">
        <f>IFERROR(INDEX('Prior Year Data Pull'!$A$2:$CB$593,MATCH('Prior Year Data Table'!$C110,'Prior Year Data Pull'!$A$2:$A$593,0),MATCH("Total Net Assets or Equity",'Prior Year Data Pull'!$A$1:$CB$1,0)),"")</f>
        <v>0</v>
      </c>
      <c r="Q110" s="38">
        <f>IFERROR(INDEX('Prior Year Data Pull'!$A$2:$CB$593,MATCH('Prior Year Data Table'!$C110,'Prior Year Data Pull'!$A$2:$A$593,0),MATCH("Total Operating Revenue",'Prior Year Data Pull'!$A$1:$CB$1,0)),"")</f>
        <v>1180040000</v>
      </c>
      <c r="R110" s="38">
        <f>IFERROR(INDEX('Prior Year Data Pull'!$A$2:$CB$593,MATCH('Prior Year Data Table'!$C110,'Prior Year Data Pull'!$A$2:$A$593,0),MATCH("Total Unrestricted Revenue Gains and Other Support",'Prior Year Data Pull'!$A$1:$CB$1,0)),"")</f>
        <v>1321915000</v>
      </c>
      <c r="S110" s="38">
        <f>IFERROR(INDEX('Prior Year TS Data Pull'!$K$2:$K$607,MATCH(C110,'Prior Year TS Data Pull'!$A$2:$A$607,0))+INDEX('Prior Year TS Data Pull'!$O$2:$O$119,MATCH(C110,'Prior Year TS Data Pull'!$A$2:$A$607,0))+INDEX('Prior Year TS Data Pull'!$S$2:$S$119,MATCH(C110,'Prior Year TS Data Pull'!$A$2:$A$607,0)),"")</f>
        <v>917053.96</v>
      </c>
      <c r="T110" s="38">
        <f>IF(INDEX('Prior Year TS Data Pull'!$A$1:$O$607,MATCH(C110,'Prior Year TS Data Pull'!$A$1:$A$607,0),MATCH("Temporary RN Staffing:
Line Reported on in Standardized Financials",'Prior Year TS Data Pull'!$A$1:$O$1,0))="66.1: Salary and Benefit Expense",'Prior Year Data Table'!$AV110-'Prior Year Data Table'!$S110,0)</f>
        <v>959978946.03999996</v>
      </c>
      <c r="U110" s="38">
        <f>IFERROR(INDEX('Prior Year Data Pull'!$A$2:$CB$593,MATCH(C110,'Prior Year Data Pull'!$A$2:$A$593,0),MATCH("Total Expenses Including Nonrecurring Gains Losses",'Prior Year Data Pull'!$A$1:$CB$1,0)),"")</f>
        <v>1148108000</v>
      </c>
      <c r="V110" s="41">
        <f t="shared" si="18"/>
        <v>0</v>
      </c>
      <c r="W110" s="41">
        <f t="shared" si="19"/>
        <v>0</v>
      </c>
      <c r="X110" s="41">
        <f t="shared" si="20"/>
        <v>0</v>
      </c>
      <c r="Y110" s="37" t="str">
        <f t="shared" si="21"/>
        <v/>
      </c>
      <c r="Z110" s="41">
        <f t="shared" si="22"/>
        <v>0</v>
      </c>
      <c r="AA110" s="39" t="str">
        <f t="shared" si="23"/>
        <v/>
      </c>
      <c r="AB110" s="37" t="str">
        <f t="shared" si="24"/>
        <v/>
      </c>
      <c r="AC110" s="37" t="str">
        <f t="shared" si="25"/>
        <v/>
      </c>
      <c r="AD110" s="38">
        <f>IFERROR(INDEX('Prior Year Data Pull'!$A$2:$CB$593,MATCH(C110,'Prior Year Data Pull'!$A$2:$A$593,0),MATCH("Net Patient Service Revenue",'Prior Year Data Pull'!$A$1:$CB$1,0)),"")</f>
        <v>944696000</v>
      </c>
      <c r="AE110" s="38">
        <f>IFERROR(INDEX('Prior Year Data Pull'!$A$2:$CB$593,MATCH(C110,'Prior Year Data Pull'!$A$2:$A$593,0),MATCH("Total Current Assets",'Prior Year Data Pull'!$A$1:$CB$1,0)),"")</f>
        <v>0</v>
      </c>
      <c r="AF110" s="38">
        <f>IFERROR(INDEX('Prior Year Data Pull'!$A$2:$CB$593,MATCH(C110,'Prior Year Data Pull'!$A$2:$A$593,0),MATCH("Total Current Liabilities",'Prior Year Data Pull'!$A$1:$CB$1,0)),"")</f>
        <v>0</v>
      </c>
      <c r="AG110" s="38">
        <f>IFERROR(INDEX('Prior Year Data Pull'!$A$2:$CB$593,MATCH(C110,'Prior Year Data Pull'!$A$2:$A$593,0),MATCH("Total Non Operating Revenue",'Prior Year Data Pull'!$A$1:$CB$1,0)),"")</f>
        <v>141875000</v>
      </c>
      <c r="AH110" s="38">
        <f>IFERROR(INDEX('Prior Year Data Pull'!$A$2:$CB$593,MATCH(C110,'Prior Year Data Pull'!$A$2:$A$593,0),MATCH("Less Accumulated Depreciation",'Prior Year Data Pull'!$A$1:$CB$1,0)),"")</f>
        <v>0</v>
      </c>
      <c r="AI110" s="38">
        <f>IFERROR(INDEX('Prior Year Data Pull'!$A$2:$CB$593,MATCH(C110,'Prior Year Data Pull'!$A$2:$A$593,0),MATCH("Depreciation and Amortization Expense",'Prior Year Data Pull'!$A$1:$CB$1,0)),"")</f>
        <v>1287000</v>
      </c>
      <c r="AJ110" s="38">
        <f>IFERROR(INDEX('Prior Year Data Pull'!$A$2:$CB$593,MATCH(C110,'Prior Year Data Pull'!$A$2:$A$593,0),MATCH("Net Patient Accounts Receivable",'Prior Year Data Pull'!$A$1:$CB$1,0)),"")</f>
        <v>0</v>
      </c>
      <c r="AK110" s="14">
        <v>365</v>
      </c>
      <c r="AL110" s="38">
        <f>IFERROR(INDEX('Prior Year Data Pull'!$A$2:$CB$593,MATCH(C110,'Prior Year Data Pull'!$A$2:$A$593,0),MATCH("Estimated Third Party Settlements",'Prior Year Data Pull'!$A$1:$CB$1,0)),"")</f>
        <v>0</v>
      </c>
      <c r="AM110" s="38">
        <f>IFERROR(INDEX('Prior Year Data Pull'!$A$2:$CB$593,MATCH(C110,'Prior Year Data Pull'!$A$2:$A$593,0),MATCH("Current Liabilities due to Affiliates",'Prior Year Data Pull'!$A$1:$CB$1,0)),"")</f>
        <v>0</v>
      </c>
      <c r="AN110" s="38">
        <f>IFERROR(INDEX('Prior Year Data Pull'!$A$2:$CB$593,MATCH(C110,'Prior Year Data Pull'!$A$2:$A$593,0),MATCH("Short Term Investments",'Prior Year Data Pull'!$A$1:$CB$1,0)),"")</f>
        <v>0</v>
      </c>
      <c r="AO110" s="38">
        <f>IFERROR(INDEX('Prior Year Data Pull'!$A$2:$CB$593,MATCH(C110,'Prior Year Data Pull'!$A$2:$A$593,0),MATCH("Cash and Cash Equivalents",'Prior Year Data Pull'!$A$1:$CB$1,0)),"")</f>
        <v>0</v>
      </c>
      <c r="AP110" s="38">
        <f>IFERROR(INDEX('Prior Year Data Pull'!$A$2:$CB$593,MATCH(C110,'Prior Year Data Pull'!$A$2:$A$593,0),MATCH("Interest Expense",'Prior Year Data Pull'!$A$1:$CB$1,0)),"")</f>
        <v>0</v>
      </c>
      <c r="AQ110" s="38">
        <f>IFERROR(INDEX('Prior Year Data Pull'!$A$2:$CB$593,MATCH(C110,'Prior Year Data Pull'!$A$2:$A$593,0),MATCH("Long Term Debt Net of Current Portion",'Prior Year Data Pull'!$A$1:$CB$1,0)),"")</f>
        <v>0</v>
      </c>
      <c r="AR110" s="38">
        <f>IFERROR(INDEX('Prior Year Data Pull'!$A$2:$CB$593,MATCH(C110,'Prior Year Data Pull'!$A$2:$A$593,0),MATCH("Total Assets",'Prior Year Data Pull'!$A$1:$CB$1,0)),"")</f>
        <v>0</v>
      </c>
      <c r="AS110" s="38">
        <f>IFERROR(INDEX('Prior Year Data Pull'!$A$2:$CB$593,MATCH(C110,'Prior Year Data Pull'!$A$2:$A$593,0),MATCH("Long Term Debt Net of Current Portion",'Prior Year Data Pull'!$A$1:$CB$1,0)),"")</f>
        <v>0</v>
      </c>
      <c r="AT110" s="38">
        <f>IFERROR(INDEX('Prior Year Data Pull'!$A$2:$CB$593,MATCH(C110,'Prior Year Data Pull'!$A$2:$A$593,0),MATCH("Net Unrestricted Assets",'Prior Year Data Pull'!$A$1:$CB$1,0)),"")</f>
        <v>0</v>
      </c>
      <c r="AU110" s="38">
        <f>IFERROR(INDEX('Prior Year Data Pull'!$A$2:$CB$593,MATCH(C110,'Prior Year Data Pull'!$A$2:$A$593,0),MATCH("Unrealized Gains/Losses",'Prior Year Data Pull'!$A$1:$CB$1,0)),"")</f>
        <v>0</v>
      </c>
      <c r="AV110" s="38">
        <f>IFERROR(INDEX('Prior Year Data Pull'!$A$2:$CB$593,MATCH(C110,'Prior Year Data Pull'!$A$2:$A$593,0),MATCH("Salary and Benefit Expense",'Prior Year Data Pull'!$A$1:$CB$1,0)),"")</f>
        <v>960896000</v>
      </c>
    </row>
    <row r="111" spans="1:48" ht="34.200000000000003" x14ac:dyDescent="0.3">
      <c r="A111" s="46" t="str">
        <f>IFERROR(INDEX('Static Data Tab'!$N$2:$N$610,MATCH(D111,'Static Data Tab'!$D$2:$D$610,0)), "")</f>
        <v>Valley Health System</v>
      </c>
      <c r="B111" s="46" t="s">
        <v>206</v>
      </c>
      <c r="C111" s="46">
        <v>14428</v>
      </c>
      <c r="D111" s="46">
        <v>12767</v>
      </c>
      <c r="E111" s="46" t="str">
        <f>IFERROR(INDEX('Prior Year Data Pull'!$A$1:$CB$593,MATCH(C111,'Prior Year Data Pull'!$A$1:$A$593,0),MATCH("Organization Type",'Prior Year Data Pull'!$A$1:$CB$1,0)),"")</f>
        <v>PhysicianOrganization</v>
      </c>
      <c r="F111" s="46" t="str">
        <f>IFERROR(INDEX('Static Data Tab'!$E$2:$E$610,MATCH(C111,'Static Data Tab'!$B$2:$B$610,0)), "-")</f>
        <v>-</v>
      </c>
      <c r="G111" s="46" t="str">
        <f>IFERROR(INDEX('Static Data Tab'!$J$2:$J$610,MATCH(C111,'Static Data Tab'!$B$2:$B$610,0)), "")</f>
        <v/>
      </c>
      <c r="H111" s="46" t="str">
        <f>IFERROR(INDEX('Static Data Tab'!$F$2:$F$610,MATCH(C111,'Static Data Tab'!$B$2:$B$610,0)), "")</f>
        <v/>
      </c>
      <c r="I111" s="46" t="str">
        <f>IFERROR(INDEX('Static Data Tab'!$G$2:$G$610,MATCH(C111,'Static Data Tab'!$B$2:$B$610,0)), "")</f>
        <v/>
      </c>
      <c r="J111" s="46" t="str">
        <f>IFERROR(INDEX('Prior Year Data Pull'!$A$2:$CB$593,MATCH(C111,'Prior Year Data Pull'!$A$2:$A$593,0),MATCH("Quarter Range",'Prior Year Data Pull'!$A$1:$CB$1,0)),"")</f>
        <v xml:space="preserve">10/01/2024-09/30/2025
</v>
      </c>
      <c r="K111" s="45">
        <f t="shared" si="13"/>
        <v>-3.3281571341908352E-2</v>
      </c>
      <c r="L111" s="45">
        <f t="shared" si="14"/>
        <v>0</v>
      </c>
      <c r="M111" s="45">
        <f t="shared" si="15"/>
        <v>-3.3281571341908352E-2</v>
      </c>
      <c r="N111" s="47">
        <f t="shared" si="16"/>
        <v>-457604</v>
      </c>
      <c r="O111" s="265" t="str">
        <f t="shared" si="17"/>
        <v/>
      </c>
      <c r="P111" s="47">
        <f>IFERROR(INDEX('Prior Year Data Pull'!$A$2:$CB$593,MATCH('Prior Year Data Table'!$C111,'Prior Year Data Pull'!$A$2:$A$593,0),MATCH("Total Net Assets or Equity",'Prior Year Data Pull'!$A$1:$CB$1,0)),"")</f>
        <v>0</v>
      </c>
      <c r="Q111" s="47">
        <f>IFERROR(INDEX('Prior Year Data Pull'!$A$2:$CB$593,MATCH('Prior Year Data Table'!$C111,'Prior Year Data Pull'!$A$2:$A$593,0),MATCH("Total Operating Revenue",'Prior Year Data Pull'!$A$1:$CB$1,0)),"")</f>
        <v>13749471</v>
      </c>
      <c r="R111" s="47">
        <f>IFERROR(INDEX('Prior Year Data Pull'!$A$2:$CB$593,MATCH('Prior Year Data Table'!$C111,'Prior Year Data Pull'!$A$2:$A$593,0),MATCH("Total Unrestricted Revenue Gains and Other Support",'Prior Year Data Pull'!$A$1:$CB$1,0)),"")</f>
        <v>13749471</v>
      </c>
      <c r="S111" s="47">
        <f>IFERROR(INDEX('Prior Year TS Data Pull'!$K$2:$K$607,MATCH(C111,'Prior Year TS Data Pull'!$A$2:$A$607,0))+INDEX('Prior Year TS Data Pull'!$O$2:$O$119,MATCH(C111,'Prior Year TS Data Pull'!$A$2:$A$607,0))+INDEX('Prior Year TS Data Pull'!$S$2:$S$119,MATCH(C111,'Prior Year TS Data Pull'!$A$2:$A$607,0)),"")</f>
        <v>0</v>
      </c>
      <c r="T111" s="47">
        <f>IF(INDEX('Prior Year TS Data Pull'!$A$1:$O$607,MATCH(C111,'Prior Year TS Data Pull'!$A$1:$A$607,0),MATCH("Temporary RN Staffing:
Line Reported on in Standardized Financials",'Prior Year TS Data Pull'!$A$1:$O$1,0))="66.1: Salary and Benefit Expense",'Prior Year Data Table'!$AV111-'Prior Year Data Table'!$S111,0)</f>
        <v>0</v>
      </c>
      <c r="U111" s="47">
        <f>IFERROR(INDEX('Prior Year Data Pull'!$A$2:$CB$593,MATCH(C111,'Prior Year Data Pull'!$A$2:$A$593,0),MATCH("Total Expenses Including Nonrecurring Gains Losses",'Prior Year Data Pull'!$A$1:$CB$1,0)),"")</f>
        <v>14207075</v>
      </c>
      <c r="V111" s="266">
        <f t="shared" si="18"/>
        <v>0</v>
      </c>
      <c r="W111" s="266">
        <f t="shared" si="19"/>
        <v>0</v>
      </c>
      <c r="X111" s="266">
        <f t="shared" si="20"/>
        <v>0</v>
      </c>
      <c r="Y111" s="45" t="str">
        <f t="shared" si="21"/>
        <v/>
      </c>
      <c r="Z111" s="266">
        <f t="shared" si="22"/>
        <v>0</v>
      </c>
      <c r="AA111" s="265" t="str">
        <f t="shared" si="23"/>
        <v/>
      </c>
      <c r="AB111" s="45" t="str">
        <f t="shared" si="24"/>
        <v/>
      </c>
      <c r="AC111" s="45" t="str">
        <f t="shared" si="25"/>
        <v/>
      </c>
      <c r="AD111" s="47">
        <f>IFERROR(INDEX('Prior Year Data Pull'!$A$2:$CB$593,MATCH(C111,'Prior Year Data Pull'!$A$2:$A$593,0),MATCH("Net Patient Service Revenue",'Prior Year Data Pull'!$A$1:$CB$1,0)),"")</f>
        <v>10122490</v>
      </c>
      <c r="AE111" s="47">
        <f>IFERROR(INDEX('Prior Year Data Pull'!$A$2:$CB$593,MATCH(C111,'Prior Year Data Pull'!$A$2:$A$593,0),MATCH("Total Current Assets",'Prior Year Data Pull'!$A$1:$CB$1,0)),"")</f>
        <v>0</v>
      </c>
      <c r="AF111" s="47">
        <f>IFERROR(INDEX('Prior Year Data Pull'!$A$2:$CB$593,MATCH(C111,'Prior Year Data Pull'!$A$2:$A$593,0),MATCH("Total Current Liabilities",'Prior Year Data Pull'!$A$1:$CB$1,0)),"")</f>
        <v>0</v>
      </c>
      <c r="AG111" s="47">
        <f>IFERROR(INDEX('Prior Year Data Pull'!$A$2:$CB$593,MATCH(C111,'Prior Year Data Pull'!$A$2:$A$593,0),MATCH("Total Non Operating Revenue",'Prior Year Data Pull'!$A$1:$CB$1,0)),"")</f>
        <v>0</v>
      </c>
      <c r="AH111" s="47">
        <f>IFERROR(INDEX('Prior Year Data Pull'!$A$2:$CB$593,MATCH(C111,'Prior Year Data Pull'!$A$2:$A$593,0),MATCH("Less Accumulated Depreciation",'Prior Year Data Pull'!$A$1:$CB$1,0)),"")</f>
        <v>0</v>
      </c>
      <c r="AI111" s="47">
        <f>IFERROR(INDEX('Prior Year Data Pull'!$A$2:$CB$593,MATCH(C111,'Prior Year Data Pull'!$A$2:$A$593,0),MATCH("Depreciation and Amortization Expense",'Prior Year Data Pull'!$A$1:$CB$1,0)),"")</f>
        <v>6434</v>
      </c>
      <c r="AJ111" s="47">
        <f>IFERROR(INDEX('Prior Year Data Pull'!$A$2:$CB$593,MATCH(C111,'Prior Year Data Pull'!$A$2:$A$593,0),MATCH("Net Patient Accounts Receivable",'Prior Year Data Pull'!$A$1:$CB$1,0)),"")</f>
        <v>0</v>
      </c>
      <c r="AK111" s="46">
        <v>365</v>
      </c>
      <c r="AL111" s="47">
        <f>IFERROR(INDEX('Prior Year Data Pull'!$A$2:$CB$593,MATCH(C111,'Prior Year Data Pull'!$A$2:$A$593,0),MATCH("Estimated Third Party Settlements",'Prior Year Data Pull'!$A$1:$CB$1,0)),"")</f>
        <v>0</v>
      </c>
      <c r="AM111" s="47">
        <f>IFERROR(INDEX('Prior Year Data Pull'!$A$2:$CB$593,MATCH(C111,'Prior Year Data Pull'!$A$2:$A$593,0),MATCH("Current Liabilities due to Affiliates",'Prior Year Data Pull'!$A$1:$CB$1,0)),"")</f>
        <v>0</v>
      </c>
      <c r="AN111" s="47">
        <f>IFERROR(INDEX('Prior Year Data Pull'!$A$2:$CB$593,MATCH(C111,'Prior Year Data Pull'!$A$2:$A$593,0),MATCH("Short Term Investments",'Prior Year Data Pull'!$A$1:$CB$1,0)),"")</f>
        <v>0</v>
      </c>
      <c r="AO111" s="47">
        <f>IFERROR(INDEX('Prior Year Data Pull'!$A$2:$CB$593,MATCH(C111,'Prior Year Data Pull'!$A$2:$A$593,0),MATCH("Cash and Cash Equivalents",'Prior Year Data Pull'!$A$1:$CB$1,0)),"")</f>
        <v>0</v>
      </c>
      <c r="AP111" s="47">
        <f>IFERROR(INDEX('Prior Year Data Pull'!$A$2:$CB$593,MATCH(C111,'Prior Year Data Pull'!$A$2:$A$593,0),MATCH("Interest Expense",'Prior Year Data Pull'!$A$1:$CB$1,0)),"")</f>
        <v>0</v>
      </c>
      <c r="AQ111" s="47">
        <f>IFERROR(INDEX('Prior Year Data Pull'!$A$2:$CB$593,MATCH(C111,'Prior Year Data Pull'!$A$2:$A$593,0),MATCH("Long Term Debt Net of Current Portion",'Prior Year Data Pull'!$A$1:$CB$1,0)),"")</f>
        <v>0</v>
      </c>
      <c r="AR111" s="47">
        <f>IFERROR(INDEX('Prior Year Data Pull'!$A$2:$CB$593,MATCH(C111,'Prior Year Data Pull'!$A$2:$A$593,0),MATCH("Total Assets",'Prior Year Data Pull'!$A$1:$CB$1,0)),"")</f>
        <v>0</v>
      </c>
      <c r="AS111" s="47">
        <f>IFERROR(INDEX('Prior Year Data Pull'!$A$2:$CB$593,MATCH(C111,'Prior Year Data Pull'!$A$2:$A$593,0),MATCH("Long Term Debt Net of Current Portion",'Prior Year Data Pull'!$A$1:$CB$1,0)),"")</f>
        <v>0</v>
      </c>
      <c r="AT111" s="47">
        <f>IFERROR(INDEX('Prior Year Data Pull'!$A$2:$CB$593,MATCH(C111,'Prior Year Data Pull'!$A$2:$A$593,0),MATCH("Net Unrestricted Assets",'Prior Year Data Pull'!$A$1:$CB$1,0)),"")</f>
        <v>0</v>
      </c>
      <c r="AU111" s="47">
        <f>IFERROR(INDEX('Prior Year Data Pull'!$A$2:$CB$593,MATCH(C111,'Prior Year Data Pull'!$A$2:$A$593,0),MATCH("Unrealized Gains/Losses",'Prior Year Data Pull'!$A$1:$CB$1,0)),"")</f>
        <v>0</v>
      </c>
      <c r="AV111" s="47">
        <f>IFERROR(INDEX('Prior Year Data Pull'!$A$2:$CB$593,MATCH(C111,'Prior Year Data Pull'!$A$2:$A$593,0),MATCH("Salary and Benefit Expense",'Prior Year Data Pull'!$A$1:$CB$1,0)),"")</f>
        <v>12142067</v>
      </c>
    </row>
    <row r="112" spans="1:48" ht="34.200000000000003" x14ac:dyDescent="0.3">
      <c r="A112" s="14" t="str">
        <f>IFERROR(INDEX('Static Data Tab'!$N$2:$N$610,MATCH(D112,'Static Data Tab'!$D$2:$D$610,0)), "")</f>
        <v xml:space="preserve">Baystate Health </v>
      </c>
      <c r="B112" s="14" t="s">
        <v>81</v>
      </c>
      <c r="C112" s="14">
        <v>14495</v>
      </c>
      <c r="D112" s="14">
        <v>4066</v>
      </c>
      <c r="E112" s="14" t="str">
        <f>IFERROR(INDEX('Prior Year Data Pull'!$A$1:$CB$593,MATCH(C112,'Prior Year Data Pull'!$A$1:$A$593,0),MATCH("Organization Type",'Prior Year Data Pull'!$A$1:$CB$1,0)),"")</f>
        <v>AcuteHospital</v>
      </c>
      <c r="F112" s="14" t="str">
        <f>IFERROR(INDEX('Static Data Tab'!$E$2:$E$610,MATCH(C112,'Static Data Tab'!$B$2:$B$610,0)), "-")</f>
        <v>Community-High Public Payer Hospital</v>
      </c>
      <c r="G112" s="14" t="str">
        <f>IFERROR(INDEX('Static Data Tab'!$J$2:$J$610,MATCH(C112,'Static Data Tab'!$B$2:$B$610,0)), "")</f>
        <v>Western Massachusetts</v>
      </c>
      <c r="H112" s="14" t="str">
        <f>IFERROR(INDEX('Static Data Tab'!$F$2:$F$610,MATCH(C112,'Static Data Tab'!$B$2:$B$610,0)), "")</f>
        <v>x</v>
      </c>
      <c r="I112" s="14">
        <f>IFERROR(INDEX('Static Data Tab'!$G$2:$G$610,MATCH(C112,'Static Data Tab'!$B$2:$B$610,0)), "")</f>
        <v>0</v>
      </c>
      <c r="J112" s="14" t="str">
        <f>IFERROR(INDEX('Prior Year Data Pull'!$A$2:$CB$593,MATCH(C112,'Prior Year Data Pull'!$A$2:$A$593,0),MATCH("Quarter Range",'Prior Year Data Pull'!$A$1:$CB$1,0)),"")</f>
        <v xml:space="preserve">10/01/2024-09/30/2025
</v>
      </c>
      <c r="K112" s="37">
        <f t="shared" si="13"/>
        <v>3.967559098659048E-2</v>
      </c>
      <c r="L112" s="37">
        <f t="shared" si="14"/>
        <v>5.3177272936731027E-3</v>
      </c>
      <c r="M112" s="37">
        <f t="shared" si="15"/>
        <v>4.4993318280263581E-2</v>
      </c>
      <c r="N112" s="38">
        <f t="shared" si="16"/>
        <v>4882000</v>
      </c>
      <c r="O112" s="39">
        <f t="shared" si="17"/>
        <v>0.67915815175561989</v>
      </c>
      <c r="P112" s="38">
        <f>IFERROR(INDEX('Prior Year Data Pull'!$A$2:$CB$593,MATCH('Prior Year Data Table'!$C112,'Prior Year Data Pull'!$A$2:$A$593,0),MATCH("Total Net Assets or Equity",'Prior Year Data Pull'!$A$1:$CB$1,0)),"")</f>
        <v>23317000</v>
      </c>
      <c r="Q112" s="38">
        <f>IFERROR(INDEX('Prior Year Data Pull'!$A$2:$CB$593,MATCH('Prior Year Data Table'!$C112,'Prior Year Data Pull'!$A$2:$A$593,0),MATCH("Total Operating Revenue",'Prior Year Data Pull'!$A$1:$CB$1,0)),"")</f>
        <v>107928000</v>
      </c>
      <c r="R112" s="38">
        <f>IFERROR(INDEX('Prior Year Data Pull'!$A$2:$CB$593,MATCH('Prior Year Data Table'!$C112,'Prior Year Data Pull'!$A$2:$A$593,0),MATCH("Total Unrestricted Revenue Gains and Other Support",'Prior Year Data Pull'!$A$1:$CB$1,0)),"")</f>
        <v>108505000</v>
      </c>
      <c r="S112" s="38">
        <f>IFERROR(INDEX('Prior Year TS Data Pull'!$K$2:$K$607,MATCH(C112,'Prior Year TS Data Pull'!$A$2:$A$607,0))+INDEX('Prior Year TS Data Pull'!$O$2:$O$119,MATCH(C112,'Prior Year TS Data Pull'!$A$2:$A$607,0))+INDEX('Prior Year TS Data Pull'!$S$2:$S$119,MATCH(C112,'Prior Year TS Data Pull'!$A$2:$A$607,0)),"")</f>
        <v>113150.31</v>
      </c>
      <c r="T112" s="38">
        <f>IF(INDEX('Prior Year TS Data Pull'!$A$1:$O$607,MATCH(C112,'Prior Year TS Data Pull'!$A$1:$A$607,0),MATCH("Temporary RN Staffing:
Line Reported on in Standardized Financials",'Prior Year TS Data Pull'!$A$1:$O$1,0))="66.1: Salary and Benefit Expense",'Prior Year Data Table'!$AV112-'Prior Year Data Table'!$S112,0)</f>
        <v>0</v>
      </c>
      <c r="U112" s="38">
        <f>IFERROR(INDEX('Prior Year Data Pull'!$A$2:$CB$593,MATCH(C112,'Prior Year Data Pull'!$A$2:$A$593,0),MATCH("Total Expenses Including Nonrecurring Gains Losses",'Prior Year Data Pull'!$A$1:$CB$1,0)),"")</f>
        <v>103623000</v>
      </c>
      <c r="V112" s="41">
        <f t="shared" si="18"/>
        <v>17.533348826400186</v>
      </c>
      <c r="W112" s="41">
        <f t="shared" si="19"/>
        <v>32.100372994793418</v>
      </c>
      <c r="X112" s="41">
        <f t="shared" si="20"/>
        <v>133.80270841723723</v>
      </c>
      <c r="Y112" s="37">
        <f t="shared" si="21"/>
        <v>0.20035774072969936</v>
      </c>
      <c r="Z112" s="41">
        <f t="shared" si="22"/>
        <v>44.33875352396295</v>
      </c>
      <c r="AA112" s="39">
        <f t="shared" si="23"/>
        <v>0.47691048297780131</v>
      </c>
      <c r="AB112" s="37">
        <f t="shared" si="24"/>
        <v>0.28647426682884275</v>
      </c>
      <c r="AC112" s="37">
        <f t="shared" si="25"/>
        <v>0.5019591774015929</v>
      </c>
      <c r="AD112" s="38">
        <f>IFERROR(INDEX('Prior Year Data Pull'!$A$2:$CB$593,MATCH(C112,'Prior Year Data Pull'!$A$2:$A$593,0),MATCH("Net Patient Service Revenue",'Prior Year Data Pull'!$A$1:$CB$1,0)),"")</f>
        <v>104291000</v>
      </c>
      <c r="AE112" s="38">
        <f>IFERROR(INDEX('Prior Year Data Pull'!$A$2:$CB$593,MATCH(C112,'Prior Year Data Pull'!$A$2:$A$593,0),MATCH("Total Current Assets",'Prior Year Data Pull'!$A$1:$CB$1,0)),"")</f>
        <v>25590000</v>
      </c>
      <c r="AF112" s="38">
        <f>IFERROR(INDEX('Prior Year Data Pull'!$A$2:$CB$593,MATCH(C112,'Prior Year Data Pull'!$A$2:$A$593,0),MATCH("Total Current Liabilities",'Prior Year Data Pull'!$A$1:$CB$1,0)),"")</f>
        <v>37679000</v>
      </c>
      <c r="AG112" s="38">
        <f>IFERROR(INDEX('Prior Year Data Pull'!$A$2:$CB$593,MATCH(C112,'Prior Year Data Pull'!$A$2:$A$593,0),MATCH("Total Non Operating Revenue",'Prior Year Data Pull'!$A$1:$CB$1,0)),"")</f>
        <v>577000</v>
      </c>
      <c r="AH112" s="38">
        <f>IFERROR(INDEX('Prior Year Data Pull'!$A$2:$CB$593,MATCH(C112,'Prior Year Data Pull'!$A$2:$A$593,0),MATCH("Less Accumulated Depreciation",'Prior Year Data Pull'!$A$1:$CB$1,0)),"")</f>
        <v>75446000</v>
      </c>
      <c r="AI112" s="38">
        <f>IFERROR(INDEX('Prior Year Data Pull'!$A$2:$CB$593,MATCH(C112,'Prior Year Data Pull'!$A$2:$A$593,0),MATCH("Depreciation and Amortization Expense",'Prior Year Data Pull'!$A$1:$CB$1,0)),"")</f>
        <v>4303000</v>
      </c>
      <c r="AJ112" s="38">
        <f>IFERROR(INDEX('Prior Year Data Pull'!$A$2:$CB$593,MATCH(C112,'Prior Year Data Pull'!$A$2:$A$593,0),MATCH("Net Patient Accounts Receivable",'Prior Year Data Pull'!$A$1:$CB$1,0)),"")</f>
        <v>9172000</v>
      </c>
      <c r="AK112" s="14">
        <v>365</v>
      </c>
      <c r="AL112" s="38">
        <f>IFERROR(INDEX('Prior Year Data Pull'!$A$2:$CB$593,MATCH(C112,'Prior Year Data Pull'!$A$2:$A$593,0),MATCH("Estimated Third Party Settlements",'Prior Year Data Pull'!$A$1:$CB$1,0)),"")</f>
        <v>1270000</v>
      </c>
      <c r="AM112" s="38">
        <f>IFERROR(INDEX('Prior Year Data Pull'!$A$2:$CB$593,MATCH(C112,'Prior Year Data Pull'!$A$2:$A$593,0),MATCH("Current Liabilities due to Affiliates",'Prior Year Data Pull'!$A$1:$CB$1,0)),"")</f>
        <v>24007000</v>
      </c>
      <c r="AN112" s="38">
        <f>IFERROR(INDEX('Prior Year Data Pull'!$A$2:$CB$593,MATCH(C112,'Prior Year Data Pull'!$A$2:$A$593,0),MATCH("Short Term Investments",'Prior Year Data Pull'!$A$1:$CB$1,0)),"")</f>
        <v>4305000</v>
      </c>
      <c r="AO112" s="38">
        <f>IFERROR(INDEX('Prior Year Data Pull'!$A$2:$CB$593,MATCH(C112,'Prior Year Data Pull'!$A$2:$A$593,0),MATCH("Cash and Cash Equivalents",'Prior Year Data Pull'!$A$1:$CB$1,0)),"")</f>
        <v>7760000</v>
      </c>
      <c r="AP112" s="38">
        <f>IFERROR(INDEX('Prior Year Data Pull'!$A$2:$CB$593,MATCH(C112,'Prior Year Data Pull'!$A$2:$A$593,0),MATCH("Interest Expense",'Prior Year Data Pull'!$A$1:$CB$1,0)),"")</f>
        <v>1167000</v>
      </c>
      <c r="AQ112" s="38">
        <f>IFERROR(INDEX('Prior Year Data Pull'!$A$2:$CB$593,MATCH(C112,'Prior Year Data Pull'!$A$2:$A$593,0),MATCH("Long Term Debt Net of Current Portion",'Prior Year Data Pull'!$A$1:$CB$1,0)),"")</f>
        <v>19600000</v>
      </c>
      <c r="AR112" s="38">
        <f>IFERROR(INDEX('Prior Year Data Pull'!$A$2:$CB$593,MATCH(C112,'Prior Year Data Pull'!$A$2:$A$593,0),MATCH("Total Assets",'Prior Year Data Pull'!$A$1:$CB$1,0)),"")</f>
        <v>81393000</v>
      </c>
      <c r="AS112" s="38">
        <f>IFERROR(INDEX('Prior Year Data Pull'!$A$2:$CB$593,MATCH(C112,'Prior Year Data Pull'!$A$2:$A$593,0),MATCH("Long Term Debt Net of Current Portion",'Prior Year Data Pull'!$A$1:$CB$1,0)),"")</f>
        <v>19600000</v>
      </c>
      <c r="AT112" s="38">
        <f>IFERROR(INDEX('Prior Year Data Pull'!$A$2:$CB$593,MATCH(C112,'Prior Year Data Pull'!$A$2:$A$593,0),MATCH("Net Unrestricted Assets",'Prior Year Data Pull'!$A$1:$CB$1,0)),"")</f>
        <v>19447000</v>
      </c>
      <c r="AU112" s="38">
        <f>IFERROR(INDEX('Prior Year Data Pull'!$A$2:$CB$593,MATCH(C112,'Prior Year Data Pull'!$A$2:$A$593,0),MATCH("Unrealized Gains/Losses",'Prior Year Data Pull'!$A$1:$CB$1,0)),"")</f>
        <v>448000</v>
      </c>
      <c r="AV112" s="38">
        <f>IFERROR(INDEX('Prior Year Data Pull'!$A$2:$CB$593,MATCH(C112,'Prior Year Data Pull'!$A$2:$A$593,0),MATCH("Salary and Benefit Expense",'Prior Year Data Pull'!$A$1:$CB$1,0)),"")</f>
        <v>46640000</v>
      </c>
    </row>
    <row r="113" spans="1:48" ht="34.200000000000003" x14ac:dyDescent="0.3">
      <c r="A113" s="46" t="str">
        <f>IFERROR(INDEX('Static Data Tab'!$N$2:$N$610,MATCH(D113,'Static Data Tab'!$D$2:$D$610,0)), "")</f>
        <v>UMass Memorial Health Care</v>
      </c>
      <c r="B113" s="46" t="s">
        <v>199</v>
      </c>
      <c r="C113" s="46">
        <v>14496</v>
      </c>
      <c r="D113" s="46">
        <v>6755</v>
      </c>
      <c r="E113" s="46" t="str">
        <f>IFERROR(INDEX('Prior Year Data Pull'!$A$1:$CB$593,MATCH(C113,'Prior Year Data Pull'!$A$1:$A$593,0),MATCH("Organization Type",'Prior Year Data Pull'!$A$1:$CB$1,0)),"")</f>
        <v>AcuteHospital</v>
      </c>
      <c r="F113" s="46" t="str">
        <f>IFERROR(INDEX('Static Data Tab'!$E$2:$E$610,MATCH(C113,'Static Data Tab'!$B$2:$B$610,0)), "-")</f>
        <v>Community-High Public Payer Hospital</v>
      </c>
      <c r="G113" s="46" t="str">
        <f>IFERROR(INDEX('Static Data Tab'!$J$2:$J$610,MATCH(C113,'Static Data Tab'!$B$2:$B$610,0)), "")</f>
        <v>Central Massachusetts</v>
      </c>
      <c r="H113" s="46" t="str">
        <f>IFERROR(INDEX('Static Data Tab'!$F$2:$F$610,MATCH(C113,'Static Data Tab'!$B$2:$B$610,0)), "")</f>
        <v>x</v>
      </c>
      <c r="I113" s="46">
        <f>IFERROR(INDEX('Static Data Tab'!$G$2:$G$610,MATCH(C113,'Static Data Tab'!$B$2:$B$610,0)), "")</f>
        <v>0</v>
      </c>
      <c r="J113" s="46" t="str">
        <f>IFERROR(INDEX('Prior Year Data Pull'!$A$2:$CB$593,MATCH(C113,'Prior Year Data Pull'!$A$2:$A$593,0),MATCH("Quarter Range",'Prior Year Data Pull'!$A$1:$CB$1,0)),"")</f>
        <v xml:space="preserve">10/01/2024-09/30/2025
</v>
      </c>
      <c r="K113" s="45">
        <f t="shared" si="13"/>
        <v>-1.5309675328704694E-2</v>
      </c>
      <c r="L113" s="45">
        <f t="shared" si="14"/>
        <v>2.706168685663856E-2</v>
      </c>
      <c r="M113" s="45">
        <f t="shared" si="15"/>
        <v>1.1752011527933866E-2</v>
      </c>
      <c r="N113" s="47">
        <f t="shared" si="16"/>
        <v>3409000</v>
      </c>
      <c r="O113" s="265">
        <f t="shared" si="17"/>
        <v>1.0020773910321052</v>
      </c>
      <c r="P113" s="47">
        <f>IFERROR(INDEX('Prior Year Data Pull'!$A$2:$CB$593,MATCH('Prior Year Data Table'!$C113,'Prior Year Data Pull'!$A$2:$A$593,0),MATCH("Total Net Assets or Equity",'Prior Year Data Pull'!$A$1:$CB$1,0)),"")</f>
        <v>173107000</v>
      </c>
      <c r="Q113" s="47">
        <f>IFERROR(INDEX('Prior Year Data Pull'!$A$2:$CB$593,MATCH('Prior Year Data Table'!$C113,'Prior Year Data Pull'!$A$2:$A$593,0),MATCH("Total Operating Revenue",'Prior Year Data Pull'!$A$1:$CB$1,0)),"")</f>
        <v>282228000</v>
      </c>
      <c r="R113" s="47">
        <f>IFERROR(INDEX('Prior Year Data Pull'!$A$2:$CB$593,MATCH('Prior Year Data Table'!$C113,'Prior Year Data Pull'!$A$2:$A$593,0),MATCH("Total Unrestricted Revenue Gains and Other Support",'Prior Year Data Pull'!$A$1:$CB$1,0)),"")</f>
        <v>290078000</v>
      </c>
      <c r="S113" s="47">
        <f>IFERROR(INDEX('Prior Year TS Data Pull'!$K$2:$K$607,MATCH(C113,'Prior Year TS Data Pull'!$A$2:$A$607,0))+INDEX('Prior Year TS Data Pull'!$O$2:$O$119,MATCH(C113,'Prior Year TS Data Pull'!$A$2:$A$607,0))+INDEX('Prior Year TS Data Pull'!$S$2:$S$119,MATCH(C113,'Prior Year TS Data Pull'!$A$2:$A$607,0)),"")</f>
        <v>2349245.88</v>
      </c>
      <c r="T113" s="47">
        <f>IF(INDEX('Prior Year TS Data Pull'!$A$1:$O$607,MATCH(C113,'Prior Year TS Data Pull'!$A$1:$A$607,0),MATCH("Temporary RN Staffing:
Line Reported on in Standardized Financials",'Prior Year TS Data Pull'!$A$1:$O$1,0))="66.1: Salary and Benefit Expense",'Prior Year Data Table'!$AV113-'Prior Year Data Table'!$S113,0)</f>
        <v>0</v>
      </c>
      <c r="U113" s="47">
        <f>IFERROR(INDEX('Prior Year Data Pull'!$A$2:$CB$593,MATCH(C113,'Prior Year Data Pull'!$A$2:$A$593,0),MATCH("Total Expenses Including Nonrecurring Gains Losses",'Prior Year Data Pull'!$A$1:$CB$1,0)),"")</f>
        <v>286669000</v>
      </c>
      <c r="V113" s="266">
        <f t="shared" si="18"/>
        <v>14.348169815795716</v>
      </c>
      <c r="W113" s="266">
        <f t="shared" si="19"/>
        <v>41.65182528277834</v>
      </c>
      <c r="X113" s="266">
        <f t="shared" si="20"/>
        <v>768.88431501350271</v>
      </c>
      <c r="Y113" s="45">
        <f t="shared" si="21"/>
        <v>2.886374829689865E-2</v>
      </c>
      <c r="Z113" s="266">
        <f t="shared" si="22"/>
        <v>4.2304941245164587</v>
      </c>
      <c r="AA113" s="265">
        <f t="shared" si="23"/>
        <v>6.7824990997479295</v>
      </c>
      <c r="AB113" s="45">
        <f t="shared" si="24"/>
        <v>0.21392521447267282</v>
      </c>
      <c r="AC113" s="45">
        <f t="shared" si="25"/>
        <v>0</v>
      </c>
      <c r="AD113" s="47">
        <f>IFERROR(INDEX('Prior Year Data Pull'!$A$2:$CB$593,MATCH(C113,'Prior Year Data Pull'!$A$2:$A$593,0),MATCH("Net Patient Service Revenue",'Prior Year Data Pull'!$A$1:$CB$1,0)),"")</f>
        <v>265137000</v>
      </c>
      <c r="AE113" s="47">
        <f>IFERROR(INDEX('Prior Year Data Pull'!$A$2:$CB$593,MATCH(C113,'Prior Year Data Pull'!$A$2:$A$593,0),MATCH("Total Current Assets",'Prior Year Data Pull'!$A$1:$CB$1,0)),"")</f>
        <v>579330000</v>
      </c>
      <c r="AF113" s="47">
        <f>IFERROR(INDEX('Prior Year Data Pull'!$A$2:$CB$593,MATCH(C113,'Prior Year Data Pull'!$A$2:$A$593,0),MATCH("Total Current Liabilities",'Prior Year Data Pull'!$A$1:$CB$1,0)),"")</f>
        <v>578129000</v>
      </c>
      <c r="AG113" s="47">
        <f>IFERROR(INDEX('Prior Year Data Pull'!$A$2:$CB$593,MATCH(C113,'Prior Year Data Pull'!$A$2:$A$593,0),MATCH("Total Non Operating Revenue",'Prior Year Data Pull'!$A$1:$CB$1,0)),"")</f>
        <v>7850000</v>
      </c>
      <c r="AH113" s="47">
        <f>IFERROR(INDEX('Prior Year Data Pull'!$A$2:$CB$593,MATCH(C113,'Prior Year Data Pull'!$A$2:$A$593,0),MATCH("Less Accumulated Depreciation",'Prior Year Data Pull'!$A$1:$CB$1,0)),"")</f>
        <v>181490000</v>
      </c>
      <c r="AI113" s="47">
        <f>IFERROR(INDEX('Prior Year Data Pull'!$A$2:$CB$593,MATCH(C113,'Prior Year Data Pull'!$A$2:$A$593,0),MATCH("Depreciation and Amortization Expense",'Prior Year Data Pull'!$A$1:$CB$1,0)),"")</f>
        <v>12649000</v>
      </c>
      <c r="AJ113" s="47">
        <f>IFERROR(INDEX('Prior Year Data Pull'!$A$2:$CB$593,MATCH(C113,'Prior Year Data Pull'!$A$2:$A$593,0),MATCH("Net Patient Accounts Receivable",'Prior Year Data Pull'!$A$1:$CB$1,0)),"")</f>
        <v>30256000</v>
      </c>
      <c r="AK113" s="46">
        <v>365</v>
      </c>
      <c r="AL113" s="47">
        <f>IFERROR(INDEX('Prior Year Data Pull'!$A$2:$CB$593,MATCH(C113,'Prior Year Data Pull'!$A$2:$A$593,0),MATCH("Estimated Third Party Settlements",'Prior Year Data Pull'!$A$1:$CB$1,0)),"")</f>
        <v>897000</v>
      </c>
      <c r="AM113" s="47">
        <f>IFERROR(INDEX('Prior Year Data Pull'!$A$2:$CB$593,MATCH(C113,'Prior Year Data Pull'!$A$2:$A$593,0),MATCH("Current Liabilities due to Affiliates",'Prior Year Data Pull'!$A$1:$CB$1,0)),"")</f>
        <v>556338000</v>
      </c>
      <c r="AN113" s="47">
        <f>IFERROR(INDEX('Prior Year Data Pull'!$A$2:$CB$593,MATCH(C113,'Prior Year Data Pull'!$A$2:$A$593,0),MATCH("Short Term Investments",'Prior Year Data Pull'!$A$1:$CB$1,0)),"")</f>
        <v>532000</v>
      </c>
      <c r="AO113" s="47">
        <f>IFERROR(INDEX('Prior Year Data Pull'!$A$2:$CB$593,MATCH(C113,'Prior Year Data Pull'!$A$2:$A$593,0),MATCH("Cash and Cash Equivalents",'Prior Year Data Pull'!$A$1:$CB$1,0)),"")</f>
        <v>2644000</v>
      </c>
      <c r="AP113" s="47">
        <f>IFERROR(INDEX('Prior Year Data Pull'!$A$2:$CB$593,MATCH(C113,'Prior Year Data Pull'!$A$2:$A$593,0),MATCH("Interest Expense",'Prior Year Data Pull'!$A$1:$CB$1,0)),"")</f>
        <v>2777000</v>
      </c>
      <c r="AQ113" s="47">
        <f>IFERROR(INDEX('Prior Year Data Pull'!$A$2:$CB$593,MATCH(C113,'Prior Year Data Pull'!$A$2:$A$593,0),MATCH("Long Term Debt Net of Current Portion",'Prior Year Data Pull'!$A$1:$CB$1,0)),"")</f>
        <v>0</v>
      </c>
      <c r="AR113" s="47">
        <f>IFERROR(INDEX('Prior Year Data Pull'!$A$2:$CB$593,MATCH(C113,'Prior Year Data Pull'!$A$2:$A$593,0),MATCH("Total Assets",'Prior Year Data Pull'!$A$1:$CB$1,0)),"")</f>
        <v>809194000</v>
      </c>
      <c r="AS113" s="47">
        <f>IFERROR(INDEX('Prior Year Data Pull'!$A$2:$CB$593,MATCH(C113,'Prior Year Data Pull'!$A$2:$A$593,0),MATCH("Long Term Debt Net of Current Portion",'Prior Year Data Pull'!$A$1:$CB$1,0)),"")</f>
        <v>0</v>
      </c>
      <c r="AT113" s="47">
        <f>IFERROR(INDEX('Prior Year Data Pull'!$A$2:$CB$593,MATCH(C113,'Prior Year Data Pull'!$A$2:$A$593,0),MATCH("Net Unrestricted Assets",'Prior Year Data Pull'!$A$1:$CB$1,0)),"")</f>
        <v>137507000</v>
      </c>
      <c r="AU113" s="47">
        <f>IFERROR(INDEX('Prior Year Data Pull'!$A$2:$CB$593,MATCH(C113,'Prior Year Data Pull'!$A$2:$A$593,0),MATCH("Unrealized Gains/Losses",'Prior Year Data Pull'!$A$1:$CB$1,0)),"")</f>
        <v>0</v>
      </c>
      <c r="AV113" s="47">
        <f>IFERROR(INDEX('Prior Year Data Pull'!$A$2:$CB$593,MATCH(C113,'Prior Year Data Pull'!$A$2:$A$593,0),MATCH("Salary and Benefit Expense",'Prior Year Data Pull'!$A$1:$CB$1,0)),"")</f>
        <v>105561000</v>
      </c>
    </row>
    <row r="114" spans="1:48" ht="34.200000000000003" x14ac:dyDescent="0.3">
      <c r="A114" s="14" t="str">
        <f>IFERROR(INDEX('Static Data Tab'!$N$2:$N$610,MATCH(D114,'Static Data Tab'!$D$2:$D$610,0)), "")</f>
        <v>Trinity Health</v>
      </c>
      <c r="B114" s="14" t="s">
        <v>188</v>
      </c>
      <c r="C114" s="14">
        <v>16532</v>
      </c>
      <c r="D114" s="14">
        <v>14288</v>
      </c>
      <c r="E114" s="14" t="str">
        <f>IFERROR(INDEX('Prior Year Data Pull'!$A$1:$CB$593,MATCH(C114,'Prior Year Data Pull'!$A$1:$A$593,0),MATCH("Organization Type",'Prior Year Data Pull'!$A$1:$CB$1,0)),"")</f>
        <v>PhysicianOrganization</v>
      </c>
      <c r="F114" s="14" t="str">
        <f>IFERROR(INDEX('Static Data Tab'!$E$2:$E$610,MATCH(C114,'Static Data Tab'!$B$2:$B$610,0)), "-")</f>
        <v>-</v>
      </c>
      <c r="G114" s="14" t="str">
        <f>IFERROR(INDEX('Static Data Tab'!$J$2:$J$610,MATCH(C114,'Static Data Tab'!$B$2:$B$610,0)), "")</f>
        <v/>
      </c>
      <c r="H114" s="14" t="str">
        <f>IFERROR(INDEX('Static Data Tab'!$F$2:$F$610,MATCH(C114,'Static Data Tab'!$B$2:$B$610,0)), "")</f>
        <v/>
      </c>
      <c r="I114" s="14" t="str">
        <f>IFERROR(INDEX('Static Data Tab'!$G$2:$G$610,MATCH(C114,'Static Data Tab'!$B$2:$B$610,0)), "")</f>
        <v/>
      </c>
      <c r="J114" s="14" t="str">
        <f>IFERROR(INDEX('Prior Year Data Pull'!$A$2:$CB$593,MATCH(C114,'Prior Year Data Pull'!$A$2:$A$593,0),MATCH("Quarter Range",'Prior Year Data Pull'!$A$1:$CB$1,0)),"")</f>
        <v xml:space="preserve">07/01/2024-06/30/2025
</v>
      </c>
      <c r="K114" s="37">
        <f t="shared" si="13"/>
        <v>-0.89668087414098452</v>
      </c>
      <c r="L114" s="37">
        <f t="shared" si="14"/>
        <v>0</v>
      </c>
      <c r="M114" s="37">
        <f t="shared" si="15"/>
        <v>-0.89668087414098452</v>
      </c>
      <c r="N114" s="38">
        <f t="shared" si="16"/>
        <v>-6878300</v>
      </c>
      <c r="O114" s="39" t="str">
        <f t="shared" si="17"/>
        <v/>
      </c>
      <c r="P114" s="38">
        <f>IFERROR(INDEX('Prior Year Data Pull'!$A$2:$CB$593,MATCH('Prior Year Data Table'!$C114,'Prior Year Data Pull'!$A$2:$A$593,0),MATCH("Total Net Assets or Equity",'Prior Year Data Pull'!$A$1:$CB$1,0)),"")</f>
        <v>0</v>
      </c>
      <c r="Q114" s="38">
        <f>IFERROR(INDEX('Prior Year Data Pull'!$A$2:$CB$593,MATCH('Prior Year Data Table'!$C114,'Prior Year Data Pull'!$A$2:$A$593,0),MATCH("Total Operating Revenue",'Prior Year Data Pull'!$A$1:$CB$1,0)),"")</f>
        <v>7670845</v>
      </c>
      <c r="R114" s="38">
        <f>IFERROR(INDEX('Prior Year Data Pull'!$A$2:$CB$593,MATCH('Prior Year Data Table'!$C114,'Prior Year Data Pull'!$A$2:$A$593,0),MATCH("Total Unrestricted Revenue Gains and Other Support",'Prior Year Data Pull'!$A$1:$CB$1,0)),"")</f>
        <v>7670845</v>
      </c>
      <c r="S114" s="38">
        <f>IFERROR(INDEX('Prior Year TS Data Pull'!$K$2:$K$607,MATCH(C114,'Prior Year TS Data Pull'!$A$2:$A$607,0))+INDEX('Prior Year TS Data Pull'!$O$2:$O$119,MATCH(C114,'Prior Year TS Data Pull'!$A$2:$A$607,0))+INDEX('Prior Year TS Data Pull'!$S$2:$S$119,MATCH(C114,'Prior Year TS Data Pull'!$A$2:$A$607,0)),"")</f>
        <v>0</v>
      </c>
      <c r="T114" s="38">
        <f>IF(INDEX('Prior Year TS Data Pull'!$A$1:$O$607,MATCH(C114,'Prior Year TS Data Pull'!$A$1:$A$607,0),MATCH("Temporary RN Staffing:
Line Reported on in Standardized Financials",'Prior Year TS Data Pull'!$A$1:$O$1,0))="66.1: Salary and Benefit Expense",'Prior Year Data Table'!$AV114-'Prior Year Data Table'!$S114,0)</f>
        <v>0</v>
      </c>
      <c r="U114" s="38">
        <f>IFERROR(INDEX('Prior Year Data Pull'!$A$2:$CB$593,MATCH(C114,'Prior Year Data Pull'!$A$2:$A$593,0),MATCH("Total Expenses Including Nonrecurring Gains Losses",'Prior Year Data Pull'!$A$1:$CB$1,0)),"")</f>
        <v>14549145</v>
      </c>
      <c r="V114" s="41">
        <f t="shared" si="18"/>
        <v>0</v>
      </c>
      <c r="W114" s="41">
        <f t="shared" si="19"/>
        <v>0</v>
      </c>
      <c r="X114" s="41">
        <f t="shared" si="20"/>
        <v>0</v>
      </c>
      <c r="Y114" s="37" t="str">
        <f t="shared" si="21"/>
        <v/>
      </c>
      <c r="Z114" s="41">
        <f t="shared" si="22"/>
        <v>0</v>
      </c>
      <c r="AA114" s="39">
        <f t="shared" si="23"/>
        <v>-13413.638671875</v>
      </c>
      <c r="AB114" s="37" t="str">
        <f t="shared" si="24"/>
        <v/>
      </c>
      <c r="AC114" s="37" t="str">
        <f t="shared" si="25"/>
        <v/>
      </c>
      <c r="AD114" s="38">
        <f>IFERROR(INDEX('Prior Year Data Pull'!$A$2:$CB$593,MATCH(C114,'Prior Year Data Pull'!$A$2:$A$593,0),MATCH("Net Patient Service Revenue",'Prior Year Data Pull'!$A$1:$CB$1,0)),"")</f>
        <v>7669172</v>
      </c>
      <c r="AE114" s="38">
        <f>IFERROR(INDEX('Prior Year Data Pull'!$A$2:$CB$593,MATCH(C114,'Prior Year Data Pull'!$A$2:$A$593,0),MATCH("Total Current Assets",'Prior Year Data Pull'!$A$1:$CB$1,0)),"")</f>
        <v>0</v>
      </c>
      <c r="AF114" s="38">
        <f>IFERROR(INDEX('Prior Year Data Pull'!$A$2:$CB$593,MATCH(C114,'Prior Year Data Pull'!$A$2:$A$593,0),MATCH("Total Current Liabilities",'Prior Year Data Pull'!$A$1:$CB$1,0)),"")</f>
        <v>0</v>
      </c>
      <c r="AG114" s="38">
        <f>IFERROR(INDEX('Prior Year Data Pull'!$A$2:$CB$593,MATCH(C114,'Prior Year Data Pull'!$A$2:$A$593,0),MATCH("Total Non Operating Revenue",'Prior Year Data Pull'!$A$1:$CB$1,0)),"")</f>
        <v>0</v>
      </c>
      <c r="AH114" s="38">
        <f>IFERROR(INDEX('Prior Year Data Pull'!$A$2:$CB$593,MATCH(C114,'Prior Year Data Pull'!$A$2:$A$593,0),MATCH("Less Accumulated Depreciation",'Prior Year Data Pull'!$A$1:$CB$1,0)),"")</f>
        <v>0</v>
      </c>
      <c r="AI114" s="38">
        <f>IFERROR(INDEX('Prior Year Data Pull'!$A$2:$CB$593,MATCH(C114,'Prior Year Data Pull'!$A$2:$A$593,0),MATCH("Depreciation and Amortization Expense",'Prior Year Data Pull'!$A$1:$CB$1,0)),"")</f>
        <v>10005</v>
      </c>
      <c r="AJ114" s="38">
        <f>IFERROR(INDEX('Prior Year Data Pull'!$A$2:$CB$593,MATCH(C114,'Prior Year Data Pull'!$A$2:$A$593,0),MATCH("Net Patient Accounts Receivable",'Prior Year Data Pull'!$A$1:$CB$1,0)),"")</f>
        <v>0</v>
      </c>
      <c r="AK114" s="14">
        <v>365</v>
      </c>
      <c r="AL114" s="38">
        <f>IFERROR(INDEX('Prior Year Data Pull'!$A$2:$CB$593,MATCH(C114,'Prior Year Data Pull'!$A$2:$A$593,0),MATCH("Estimated Third Party Settlements",'Prior Year Data Pull'!$A$1:$CB$1,0)),"")</f>
        <v>0</v>
      </c>
      <c r="AM114" s="38">
        <f>IFERROR(INDEX('Prior Year Data Pull'!$A$2:$CB$593,MATCH(C114,'Prior Year Data Pull'!$A$2:$A$593,0),MATCH("Current Liabilities due to Affiliates",'Prior Year Data Pull'!$A$1:$CB$1,0)),"")</f>
        <v>0</v>
      </c>
      <c r="AN114" s="38">
        <f>IFERROR(INDEX('Prior Year Data Pull'!$A$2:$CB$593,MATCH(C114,'Prior Year Data Pull'!$A$2:$A$593,0),MATCH("Short Term Investments",'Prior Year Data Pull'!$A$1:$CB$1,0)),"")</f>
        <v>0</v>
      </c>
      <c r="AO114" s="38">
        <f>IFERROR(INDEX('Prior Year Data Pull'!$A$2:$CB$593,MATCH(C114,'Prior Year Data Pull'!$A$2:$A$593,0),MATCH("Cash and Cash Equivalents",'Prior Year Data Pull'!$A$1:$CB$1,0)),"")</f>
        <v>0</v>
      </c>
      <c r="AP114" s="38">
        <f>IFERROR(INDEX('Prior Year Data Pull'!$A$2:$CB$593,MATCH(C114,'Prior Year Data Pull'!$A$2:$A$593,0),MATCH("Interest Expense",'Prior Year Data Pull'!$A$1:$CB$1,0)),"")</f>
        <v>512</v>
      </c>
      <c r="AQ114" s="38">
        <f>IFERROR(INDEX('Prior Year Data Pull'!$A$2:$CB$593,MATCH(C114,'Prior Year Data Pull'!$A$2:$A$593,0),MATCH("Long Term Debt Net of Current Portion",'Prior Year Data Pull'!$A$1:$CB$1,0)),"")</f>
        <v>0</v>
      </c>
      <c r="AR114" s="38">
        <f>IFERROR(INDEX('Prior Year Data Pull'!$A$2:$CB$593,MATCH(C114,'Prior Year Data Pull'!$A$2:$A$593,0),MATCH("Total Assets",'Prior Year Data Pull'!$A$1:$CB$1,0)),"")</f>
        <v>0</v>
      </c>
      <c r="AS114" s="38">
        <f>IFERROR(INDEX('Prior Year Data Pull'!$A$2:$CB$593,MATCH(C114,'Prior Year Data Pull'!$A$2:$A$593,0),MATCH("Long Term Debt Net of Current Portion",'Prior Year Data Pull'!$A$1:$CB$1,0)),"")</f>
        <v>0</v>
      </c>
      <c r="AT114" s="38">
        <f>IFERROR(INDEX('Prior Year Data Pull'!$A$2:$CB$593,MATCH(C114,'Prior Year Data Pull'!$A$2:$A$593,0),MATCH("Net Unrestricted Assets",'Prior Year Data Pull'!$A$1:$CB$1,0)),"")</f>
        <v>0</v>
      </c>
      <c r="AU114" s="38">
        <f>IFERROR(INDEX('Prior Year Data Pull'!$A$2:$CB$593,MATCH(C114,'Prior Year Data Pull'!$A$2:$A$593,0),MATCH("Unrealized Gains/Losses",'Prior Year Data Pull'!$A$1:$CB$1,0)),"")</f>
        <v>0</v>
      </c>
      <c r="AV114" s="38">
        <f>IFERROR(INDEX('Prior Year Data Pull'!$A$2:$CB$593,MATCH(C114,'Prior Year Data Pull'!$A$2:$A$593,0),MATCH("Salary and Benefit Expense",'Prior Year Data Pull'!$A$1:$CB$1,0)),"")</f>
        <v>0</v>
      </c>
    </row>
    <row r="115" spans="1:48" ht="34.200000000000003" x14ac:dyDescent="0.3">
      <c r="A115" s="46" t="str">
        <f>IFERROR(INDEX('Static Data Tab'!$N$2:$N$610,MATCH(D115,'Static Data Tab'!$D$2:$D$610,0)), "")</f>
        <v>Trinity Health</v>
      </c>
      <c r="B115" s="46" t="s">
        <v>189</v>
      </c>
      <c r="C115" s="46">
        <v>16533</v>
      </c>
      <c r="D115" s="46">
        <v>14288</v>
      </c>
      <c r="E115" s="46" t="str">
        <f>IFERROR(INDEX('Prior Year Data Pull'!$A$1:$CB$593,MATCH(C115,'Prior Year Data Pull'!$A$1:$A$593,0),MATCH("Organization Type",'Prior Year Data Pull'!$A$1:$CB$1,0)),"")</f>
        <v>PhysicianOrganization</v>
      </c>
      <c r="F115" s="46" t="str">
        <f>IFERROR(INDEX('Static Data Tab'!$E$2:$E$610,MATCH(C115,'Static Data Tab'!$B$2:$B$610,0)), "-")</f>
        <v>-</v>
      </c>
      <c r="G115" s="46" t="str">
        <f>IFERROR(INDEX('Static Data Tab'!$J$2:$J$610,MATCH(C115,'Static Data Tab'!$B$2:$B$610,0)), "")</f>
        <v/>
      </c>
      <c r="H115" s="46" t="str">
        <f>IFERROR(INDEX('Static Data Tab'!$F$2:$F$610,MATCH(C115,'Static Data Tab'!$B$2:$B$610,0)), "")</f>
        <v/>
      </c>
      <c r="I115" s="46" t="str">
        <f>IFERROR(INDEX('Static Data Tab'!$G$2:$G$610,MATCH(C115,'Static Data Tab'!$B$2:$B$610,0)), "")</f>
        <v/>
      </c>
      <c r="J115" s="46" t="str">
        <f>IFERROR(INDEX('Prior Year Data Pull'!$A$2:$CB$593,MATCH(C115,'Prior Year Data Pull'!$A$2:$A$593,0),MATCH("Quarter Range",'Prior Year Data Pull'!$A$1:$CB$1,0)),"")</f>
        <v xml:space="preserve">07/01/2024-06/30/2025
</v>
      </c>
      <c r="K115" s="45">
        <f t="shared" si="13"/>
        <v>-0.29026455698421189</v>
      </c>
      <c r="L115" s="45">
        <f t="shared" si="14"/>
        <v>0</v>
      </c>
      <c r="M115" s="45">
        <f t="shared" si="15"/>
        <v>-0.29026455698421189</v>
      </c>
      <c r="N115" s="47">
        <f t="shared" si="16"/>
        <v>-25254983</v>
      </c>
      <c r="O115" s="265" t="str">
        <f t="shared" si="17"/>
        <v/>
      </c>
      <c r="P115" s="47">
        <f>IFERROR(INDEX('Prior Year Data Pull'!$A$2:$CB$593,MATCH('Prior Year Data Table'!$C115,'Prior Year Data Pull'!$A$2:$A$593,0),MATCH("Total Net Assets or Equity",'Prior Year Data Pull'!$A$1:$CB$1,0)),"")</f>
        <v>0</v>
      </c>
      <c r="Q115" s="47">
        <f>IFERROR(INDEX('Prior Year Data Pull'!$A$2:$CB$593,MATCH('Prior Year Data Table'!$C115,'Prior Year Data Pull'!$A$2:$A$593,0),MATCH("Total Operating Revenue",'Prior Year Data Pull'!$A$1:$CB$1,0)),"")</f>
        <v>87006775</v>
      </c>
      <c r="R115" s="47">
        <f>IFERROR(INDEX('Prior Year Data Pull'!$A$2:$CB$593,MATCH('Prior Year Data Table'!$C115,'Prior Year Data Pull'!$A$2:$A$593,0),MATCH("Total Unrestricted Revenue Gains and Other Support",'Prior Year Data Pull'!$A$1:$CB$1,0)),"")</f>
        <v>87006775</v>
      </c>
      <c r="S115" s="47">
        <f>IFERROR(INDEX('Prior Year TS Data Pull'!$K$2:$K$607,MATCH(C115,'Prior Year TS Data Pull'!$A$2:$A$607,0))+INDEX('Prior Year TS Data Pull'!$O$2:$O$119,MATCH(C115,'Prior Year TS Data Pull'!$A$2:$A$607,0))+INDEX('Prior Year TS Data Pull'!$S$2:$S$119,MATCH(C115,'Prior Year TS Data Pull'!$A$2:$A$607,0)),"")</f>
        <v>560954</v>
      </c>
      <c r="T115" s="47">
        <f>IF(INDEX('Prior Year TS Data Pull'!$A$1:$O$607,MATCH(C115,'Prior Year TS Data Pull'!$A$1:$A$607,0),MATCH("Temporary RN Staffing:
Line Reported on in Standardized Financials",'Prior Year TS Data Pull'!$A$1:$O$1,0))="66.1: Salary and Benefit Expense",'Prior Year Data Table'!$AV115-'Prior Year Data Table'!$S115,0)</f>
        <v>0</v>
      </c>
      <c r="U115" s="47">
        <f>IFERROR(INDEX('Prior Year Data Pull'!$A$2:$CB$593,MATCH(C115,'Prior Year Data Pull'!$A$2:$A$593,0),MATCH("Total Expenses Including Nonrecurring Gains Losses",'Prior Year Data Pull'!$A$1:$CB$1,0)),"")</f>
        <v>112261758</v>
      </c>
      <c r="V115" s="266">
        <f t="shared" si="18"/>
        <v>0</v>
      </c>
      <c r="W115" s="266">
        <f t="shared" si="19"/>
        <v>0</v>
      </c>
      <c r="X115" s="266">
        <f t="shared" si="20"/>
        <v>0</v>
      </c>
      <c r="Y115" s="45" t="str">
        <f t="shared" si="21"/>
        <v/>
      </c>
      <c r="Z115" s="266">
        <f t="shared" si="22"/>
        <v>0</v>
      </c>
      <c r="AA115" s="265">
        <f t="shared" si="23"/>
        <v>-9952.0046140939594</v>
      </c>
      <c r="AB115" s="45" t="str">
        <f t="shared" si="24"/>
        <v/>
      </c>
      <c r="AC115" s="45" t="str">
        <f t="shared" si="25"/>
        <v/>
      </c>
      <c r="AD115" s="47">
        <f>IFERROR(INDEX('Prior Year Data Pull'!$A$2:$CB$593,MATCH(C115,'Prior Year Data Pull'!$A$2:$A$593,0),MATCH("Net Patient Service Revenue",'Prior Year Data Pull'!$A$1:$CB$1,0)),"")</f>
        <v>55796111</v>
      </c>
      <c r="AE115" s="47">
        <f>IFERROR(INDEX('Prior Year Data Pull'!$A$2:$CB$593,MATCH(C115,'Prior Year Data Pull'!$A$2:$A$593,0),MATCH("Total Current Assets",'Prior Year Data Pull'!$A$1:$CB$1,0)),"")</f>
        <v>0</v>
      </c>
      <c r="AF115" s="47">
        <f>IFERROR(INDEX('Prior Year Data Pull'!$A$2:$CB$593,MATCH(C115,'Prior Year Data Pull'!$A$2:$A$593,0),MATCH("Total Current Liabilities",'Prior Year Data Pull'!$A$1:$CB$1,0)),"")</f>
        <v>0</v>
      </c>
      <c r="AG115" s="47">
        <f>IFERROR(INDEX('Prior Year Data Pull'!$A$2:$CB$593,MATCH(C115,'Prior Year Data Pull'!$A$2:$A$593,0),MATCH("Total Non Operating Revenue",'Prior Year Data Pull'!$A$1:$CB$1,0)),"")</f>
        <v>0</v>
      </c>
      <c r="AH115" s="47">
        <f>IFERROR(INDEX('Prior Year Data Pull'!$A$2:$CB$593,MATCH(C115,'Prior Year Data Pull'!$A$2:$A$593,0),MATCH("Less Accumulated Depreciation",'Prior Year Data Pull'!$A$1:$CB$1,0)),"")</f>
        <v>0</v>
      </c>
      <c r="AI115" s="47">
        <f>IFERROR(INDEX('Prior Year Data Pull'!$A$2:$CB$593,MATCH(C115,'Prior Year Data Pull'!$A$2:$A$593,0),MATCH("Depreciation and Amortization Expense",'Prior Year Data Pull'!$A$1:$CB$1,0)),"")</f>
        <v>1527020</v>
      </c>
      <c r="AJ115" s="47">
        <f>IFERROR(INDEX('Prior Year Data Pull'!$A$2:$CB$593,MATCH(C115,'Prior Year Data Pull'!$A$2:$A$593,0),MATCH("Net Patient Accounts Receivable",'Prior Year Data Pull'!$A$1:$CB$1,0)),"")</f>
        <v>0</v>
      </c>
      <c r="AK115" s="46">
        <v>365</v>
      </c>
      <c r="AL115" s="47">
        <f>IFERROR(INDEX('Prior Year Data Pull'!$A$2:$CB$593,MATCH(C115,'Prior Year Data Pull'!$A$2:$A$593,0),MATCH("Estimated Third Party Settlements",'Prior Year Data Pull'!$A$1:$CB$1,0)),"")</f>
        <v>0</v>
      </c>
      <c r="AM115" s="47">
        <f>IFERROR(INDEX('Prior Year Data Pull'!$A$2:$CB$593,MATCH(C115,'Prior Year Data Pull'!$A$2:$A$593,0),MATCH("Current Liabilities due to Affiliates",'Prior Year Data Pull'!$A$1:$CB$1,0)),"")</f>
        <v>0</v>
      </c>
      <c r="AN115" s="47">
        <f>IFERROR(INDEX('Prior Year Data Pull'!$A$2:$CB$593,MATCH(C115,'Prior Year Data Pull'!$A$2:$A$593,0),MATCH("Short Term Investments",'Prior Year Data Pull'!$A$1:$CB$1,0)),"")</f>
        <v>0</v>
      </c>
      <c r="AO115" s="47">
        <f>IFERROR(INDEX('Prior Year Data Pull'!$A$2:$CB$593,MATCH(C115,'Prior Year Data Pull'!$A$2:$A$593,0),MATCH("Cash and Cash Equivalents",'Prior Year Data Pull'!$A$1:$CB$1,0)),"")</f>
        <v>0</v>
      </c>
      <c r="AP115" s="47">
        <f>IFERROR(INDEX('Prior Year Data Pull'!$A$2:$CB$593,MATCH(C115,'Prior Year Data Pull'!$A$2:$A$593,0),MATCH("Interest Expense",'Prior Year Data Pull'!$A$1:$CB$1,0)),"")</f>
        <v>2384</v>
      </c>
      <c r="AQ115" s="47">
        <f>IFERROR(INDEX('Prior Year Data Pull'!$A$2:$CB$593,MATCH(C115,'Prior Year Data Pull'!$A$2:$A$593,0),MATCH("Long Term Debt Net of Current Portion",'Prior Year Data Pull'!$A$1:$CB$1,0)),"")</f>
        <v>0</v>
      </c>
      <c r="AR115" s="47">
        <f>IFERROR(INDEX('Prior Year Data Pull'!$A$2:$CB$593,MATCH(C115,'Prior Year Data Pull'!$A$2:$A$593,0),MATCH("Total Assets",'Prior Year Data Pull'!$A$1:$CB$1,0)),"")</f>
        <v>0</v>
      </c>
      <c r="AS115" s="47">
        <f>IFERROR(INDEX('Prior Year Data Pull'!$A$2:$CB$593,MATCH(C115,'Prior Year Data Pull'!$A$2:$A$593,0),MATCH("Long Term Debt Net of Current Portion",'Prior Year Data Pull'!$A$1:$CB$1,0)),"")</f>
        <v>0</v>
      </c>
      <c r="AT115" s="47">
        <f>IFERROR(INDEX('Prior Year Data Pull'!$A$2:$CB$593,MATCH(C115,'Prior Year Data Pull'!$A$2:$A$593,0),MATCH("Net Unrestricted Assets",'Prior Year Data Pull'!$A$1:$CB$1,0)),"")</f>
        <v>0</v>
      </c>
      <c r="AU115" s="47">
        <f>IFERROR(INDEX('Prior Year Data Pull'!$A$2:$CB$593,MATCH(C115,'Prior Year Data Pull'!$A$2:$A$593,0),MATCH("Unrealized Gains/Losses",'Prior Year Data Pull'!$A$1:$CB$1,0)),"")</f>
        <v>0</v>
      </c>
      <c r="AV115" s="47">
        <f>IFERROR(INDEX('Prior Year Data Pull'!$A$2:$CB$593,MATCH(C115,'Prior Year Data Pull'!$A$2:$A$593,0),MATCH("Salary and Benefit Expense",'Prior Year Data Pull'!$A$1:$CB$1,0)),"")</f>
        <v>82570601</v>
      </c>
    </row>
    <row r="116" spans="1:48" ht="34.200000000000003" x14ac:dyDescent="0.3">
      <c r="A116" s="14" t="str">
        <f>IFERROR(INDEX('Static Data Tab'!$N$2:$N$610,MATCH(D116,'Static Data Tab'!$D$2:$D$610,0)), "")</f>
        <v>Mass General Brigham</v>
      </c>
      <c r="B116" s="14" t="s">
        <v>155</v>
      </c>
      <c r="C116" s="14">
        <v>16579</v>
      </c>
      <c r="D116" s="14">
        <v>3791</v>
      </c>
      <c r="E116" s="14" t="str">
        <f>IFERROR(INDEX('Prior Year Data Pull'!$A$1:$CB$593,MATCH(C116,'Prior Year Data Pull'!$A$1:$A$593,0),MATCH("Organization Type",'Prior Year Data Pull'!$A$1:$CB$1,0)),"")</f>
        <v>PhysicianOrganization</v>
      </c>
      <c r="F116" s="14" t="str">
        <f>IFERROR(INDEX('Static Data Tab'!$E$2:$E$610,MATCH(C116,'Static Data Tab'!$B$2:$B$610,0)), "-")</f>
        <v>-</v>
      </c>
      <c r="G116" s="14" t="str">
        <f>IFERROR(INDEX('Static Data Tab'!$J$2:$J$610,MATCH(C116,'Static Data Tab'!$B$2:$B$610,0)), "")</f>
        <v/>
      </c>
      <c r="H116" s="14" t="str">
        <f>IFERROR(INDEX('Static Data Tab'!$F$2:$F$610,MATCH(C116,'Static Data Tab'!$B$2:$B$610,0)), "")</f>
        <v/>
      </c>
      <c r="I116" s="14" t="str">
        <f>IFERROR(INDEX('Static Data Tab'!$G$2:$G$610,MATCH(C116,'Static Data Tab'!$B$2:$B$610,0)), "")</f>
        <v/>
      </c>
      <c r="J116" s="14" t="str">
        <f>IFERROR(INDEX('Prior Year Data Pull'!$A$2:$CB$593,MATCH(C116,'Prior Year Data Pull'!$A$2:$A$593,0),MATCH("Quarter Range",'Prior Year Data Pull'!$A$1:$CB$1,0)),"")</f>
        <v xml:space="preserve">10/01/2024-09/30/2025
</v>
      </c>
      <c r="K116" s="37">
        <f t="shared" si="13"/>
        <v>0.2463917525773196</v>
      </c>
      <c r="L116" s="37">
        <f t="shared" si="14"/>
        <v>0</v>
      </c>
      <c r="M116" s="37">
        <f t="shared" si="15"/>
        <v>0.2463917525773196</v>
      </c>
      <c r="N116" s="38">
        <f t="shared" si="16"/>
        <v>478000</v>
      </c>
      <c r="O116" s="39" t="str">
        <f t="shared" si="17"/>
        <v/>
      </c>
      <c r="P116" s="38">
        <f>IFERROR(INDEX('Prior Year Data Pull'!$A$2:$CB$593,MATCH('Prior Year Data Table'!$C116,'Prior Year Data Pull'!$A$2:$A$593,0),MATCH("Total Net Assets or Equity",'Prior Year Data Pull'!$A$1:$CB$1,0)),"")</f>
        <v>0</v>
      </c>
      <c r="Q116" s="38">
        <f>IFERROR(INDEX('Prior Year Data Pull'!$A$2:$CB$593,MATCH('Prior Year Data Table'!$C116,'Prior Year Data Pull'!$A$2:$A$593,0),MATCH("Total Operating Revenue",'Prior Year Data Pull'!$A$1:$CB$1,0)),"")</f>
        <v>1940000</v>
      </c>
      <c r="R116" s="38">
        <f>IFERROR(INDEX('Prior Year Data Pull'!$A$2:$CB$593,MATCH('Prior Year Data Table'!$C116,'Prior Year Data Pull'!$A$2:$A$593,0),MATCH("Total Unrestricted Revenue Gains and Other Support",'Prior Year Data Pull'!$A$1:$CB$1,0)),"")</f>
        <v>1940000</v>
      </c>
      <c r="S116" s="38">
        <f>IFERROR(INDEX('Prior Year TS Data Pull'!$K$2:$K$607,MATCH(C116,'Prior Year TS Data Pull'!$A$2:$A$607,0))+INDEX('Prior Year TS Data Pull'!$O$2:$O$119,MATCH(C116,'Prior Year TS Data Pull'!$A$2:$A$607,0))+INDEX('Prior Year TS Data Pull'!$S$2:$S$119,MATCH(C116,'Prior Year TS Data Pull'!$A$2:$A$607,0)),"")</f>
        <v>0</v>
      </c>
      <c r="T116" s="38">
        <f>IF(INDEX('Prior Year TS Data Pull'!$A$1:$O$607,MATCH(C116,'Prior Year TS Data Pull'!$A$1:$A$607,0),MATCH("Temporary RN Staffing:
Line Reported on in Standardized Financials",'Prior Year TS Data Pull'!$A$1:$O$1,0))="66.1: Salary and Benefit Expense",'Prior Year Data Table'!$AV116-'Prior Year Data Table'!$S116,0)</f>
        <v>0</v>
      </c>
      <c r="U116" s="38">
        <f>IFERROR(INDEX('Prior Year Data Pull'!$A$2:$CB$593,MATCH(C116,'Prior Year Data Pull'!$A$2:$A$593,0),MATCH("Total Expenses Including Nonrecurring Gains Losses",'Prior Year Data Pull'!$A$1:$CB$1,0)),"")</f>
        <v>1462000</v>
      </c>
      <c r="V116" s="41" t="str">
        <f t="shared" si="18"/>
        <v/>
      </c>
      <c r="W116" s="41">
        <f t="shared" si="19"/>
        <v>0</v>
      </c>
      <c r="X116" s="41">
        <f t="shared" si="20"/>
        <v>0</v>
      </c>
      <c r="Y116" s="37" t="str">
        <f t="shared" si="21"/>
        <v/>
      </c>
      <c r="Z116" s="41">
        <f t="shared" si="22"/>
        <v>0</v>
      </c>
      <c r="AA116" s="39" t="str">
        <f t="shared" si="23"/>
        <v/>
      </c>
      <c r="AB116" s="37" t="str">
        <f t="shared" si="24"/>
        <v/>
      </c>
      <c r="AC116" s="37" t="str">
        <f t="shared" si="25"/>
        <v/>
      </c>
      <c r="AD116" s="38">
        <f>IFERROR(INDEX('Prior Year Data Pull'!$A$2:$CB$593,MATCH(C116,'Prior Year Data Pull'!$A$2:$A$593,0),MATCH("Net Patient Service Revenue",'Prior Year Data Pull'!$A$1:$CB$1,0)),"")</f>
        <v>1323000</v>
      </c>
      <c r="AE116" s="38">
        <f>IFERROR(INDEX('Prior Year Data Pull'!$A$2:$CB$593,MATCH(C116,'Prior Year Data Pull'!$A$2:$A$593,0),MATCH("Total Current Assets",'Prior Year Data Pull'!$A$1:$CB$1,0)),"")</f>
        <v>0</v>
      </c>
      <c r="AF116" s="38">
        <f>IFERROR(INDEX('Prior Year Data Pull'!$A$2:$CB$593,MATCH(C116,'Prior Year Data Pull'!$A$2:$A$593,0),MATCH("Total Current Liabilities",'Prior Year Data Pull'!$A$1:$CB$1,0)),"")</f>
        <v>0</v>
      </c>
      <c r="AG116" s="38">
        <f>IFERROR(INDEX('Prior Year Data Pull'!$A$2:$CB$593,MATCH(C116,'Prior Year Data Pull'!$A$2:$A$593,0),MATCH("Total Non Operating Revenue",'Prior Year Data Pull'!$A$1:$CB$1,0)),"")</f>
        <v>0</v>
      </c>
      <c r="AH116" s="38">
        <f>IFERROR(INDEX('Prior Year Data Pull'!$A$2:$CB$593,MATCH(C116,'Prior Year Data Pull'!$A$2:$A$593,0),MATCH("Less Accumulated Depreciation",'Prior Year Data Pull'!$A$1:$CB$1,0)),"")</f>
        <v>0</v>
      </c>
      <c r="AI116" s="38">
        <f>IFERROR(INDEX('Prior Year Data Pull'!$A$2:$CB$593,MATCH(C116,'Prior Year Data Pull'!$A$2:$A$593,0),MATCH("Depreciation and Amortization Expense",'Prior Year Data Pull'!$A$1:$CB$1,0)),"")</f>
        <v>0</v>
      </c>
      <c r="AJ116" s="38">
        <f>IFERROR(INDEX('Prior Year Data Pull'!$A$2:$CB$593,MATCH(C116,'Prior Year Data Pull'!$A$2:$A$593,0),MATCH("Net Patient Accounts Receivable",'Prior Year Data Pull'!$A$1:$CB$1,0)),"")</f>
        <v>0</v>
      </c>
      <c r="AK116" s="14">
        <v>365</v>
      </c>
      <c r="AL116" s="38">
        <f>IFERROR(INDEX('Prior Year Data Pull'!$A$2:$CB$593,MATCH(C116,'Prior Year Data Pull'!$A$2:$A$593,0),MATCH("Estimated Third Party Settlements",'Prior Year Data Pull'!$A$1:$CB$1,0)),"")</f>
        <v>0</v>
      </c>
      <c r="AM116" s="38">
        <f>IFERROR(INDEX('Prior Year Data Pull'!$A$2:$CB$593,MATCH(C116,'Prior Year Data Pull'!$A$2:$A$593,0),MATCH("Current Liabilities due to Affiliates",'Prior Year Data Pull'!$A$1:$CB$1,0)),"")</f>
        <v>0</v>
      </c>
      <c r="AN116" s="38">
        <f>IFERROR(INDEX('Prior Year Data Pull'!$A$2:$CB$593,MATCH(C116,'Prior Year Data Pull'!$A$2:$A$593,0),MATCH("Short Term Investments",'Prior Year Data Pull'!$A$1:$CB$1,0)),"")</f>
        <v>0</v>
      </c>
      <c r="AO116" s="38">
        <f>IFERROR(INDEX('Prior Year Data Pull'!$A$2:$CB$593,MATCH(C116,'Prior Year Data Pull'!$A$2:$A$593,0),MATCH("Cash and Cash Equivalents",'Prior Year Data Pull'!$A$1:$CB$1,0)),"")</f>
        <v>0</v>
      </c>
      <c r="AP116" s="38">
        <f>IFERROR(INDEX('Prior Year Data Pull'!$A$2:$CB$593,MATCH(C116,'Prior Year Data Pull'!$A$2:$A$593,0),MATCH("Interest Expense",'Prior Year Data Pull'!$A$1:$CB$1,0)),"")</f>
        <v>0</v>
      </c>
      <c r="AQ116" s="38">
        <f>IFERROR(INDEX('Prior Year Data Pull'!$A$2:$CB$593,MATCH(C116,'Prior Year Data Pull'!$A$2:$A$593,0),MATCH("Long Term Debt Net of Current Portion",'Prior Year Data Pull'!$A$1:$CB$1,0)),"")</f>
        <v>0</v>
      </c>
      <c r="AR116" s="38">
        <f>IFERROR(INDEX('Prior Year Data Pull'!$A$2:$CB$593,MATCH(C116,'Prior Year Data Pull'!$A$2:$A$593,0),MATCH("Total Assets",'Prior Year Data Pull'!$A$1:$CB$1,0)),"")</f>
        <v>0</v>
      </c>
      <c r="AS116" s="38">
        <f>IFERROR(INDEX('Prior Year Data Pull'!$A$2:$CB$593,MATCH(C116,'Prior Year Data Pull'!$A$2:$A$593,0),MATCH("Long Term Debt Net of Current Portion",'Prior Year Data Pull'!$A$1:$CB$1,0)),"")</f>
        <v>0</v>
      </c>
      <c r="AT116" s="38">
        <f>IFERROR(INDEX('Prior Year Data Pull'!$A$2:$CB$593,MATCH(C116,'Prior Year Data Pull'!$A$2:$A$593,0),MATCH("Net Unrestricted Assets",'Prior Year Data Pull'!$A$1:$CB$1,0)),"")</f>
        <v>0</v>
      </c>
      <c r="AU116" s="38">
        <f>IFERROR(INDEX('Prior Year Data Pull'!$A$2:$CB$593,MATCH(C116,'Prior Year Data Pull'!$A$2:$A$593,0),MATCH("Unrealized Gains/Losses",'Prior Year Data Pull'!$A$1:$CB$1,0)),"")</f>
        <v>0</v>
      </c>
      <c r="AV116" s="38">
        <f>IFERROR(INDEX('Prior Year Data Pull'!$A$2:$CB$593,MATCH(C116,'Prior Year Data Pull'!$A$2:$A$593,0),MATCH("Salary and Benefit Expense",'Prior Year Data Pull'!$A$1:$CB$1,0)),"")</f>
        <v>10000</v>
      </c>
    </row>
    <row r="117" spans="1:48" ht="34.200000000000003" x14ac:dyDescent="0.3">
      <c r="A117" s="46" t="str">
        <f>IFERROR(INDEX('Static Data Tab'!$N$2:$N$610,MATCH(D117,'Static Data Tab'!$D$2:$D$610,0)), "")</f>
        <v>Valley Health System</v>
      </c>
      <c r="B117" s="46" t="s">
        <v>203</v>
      </c>
      <c r="C117" s="46">
        <v>12767</v>
      </c>
      <c r="D117" s="46">
        <v>12767</v>
      </c>
      <c r="E117" s="46" t="str">
        <f>IFERROR(INDEX('Prior Year Data Pull'!$A$1:$CB$593,MATCH(C117,'Prior Year Data Pull'!$A$1:$A$593,0),MATCH("Organization Type",'Prior Year Data Pull'!$A$1:$CB$1,0)),"")</f>
        <v>HHS</v>
      </c>
      <c r="F117" s="46" t="str">
        <f>IFERROR(INDEX('Static Data Tab'!$E$2:$E$610,MATCH(C117,'Static Data Tab'!$B$2:$B$610,0)), "-")</f>
        <v>-</v>
      </c>
      <c r="G117" s="46" t="str">
        <f>IFERROR(INDEX('Static Data Tab'!$J$2:$J$610,MATCH(C117,'Static Data Tab'!$B$2:$B$610,0)), "")</f>
        <v/>
      </c>
      <c r="H117" s="46" t="str">
        <f>IFERROR(INDEX('Static Data Tab'!$F$2:$F$610,MATCH(C117,'Static Data Tab'!$B$2:$B$610,0)), "")</f>
        <v/>
      </c>
      <c r="I117" s="46" t="str">
        <f>IFERROR(INDEX('Static Data Tab'!$G$2:$G$610,MATCH(C117,'Static Data Tab'!$B$2:$B$610,0)), "")</f>
        <v/>
      </c>
      <c r="J117" s="46" t="str">
        <f>IFERROR(INDEX('Prior Year Data Pull'!$A$2:$CB$593,MATCH(C117,'Prior Year Data Pull'!$A$2:$A$593,0),MATCH("Quarter Range",'Prior Year Data Pull'!$A$1:$CB$1,0)),"")</f>
        <v xml:space="preserve">10/01/2024-09/30/2025
</v>
      </c>
      <c r="K117" s="45">
        <f t="shared" si="13"/>
        <v>4.0856157000988429E-2</v>
      </c>
      <c r="L117" s="45">
        <f t="shared" si="14"/>
        <v>-0.10660756918628789</v>
      </c>
      <c r="M117" s="45">
        <f t="shared" si="15"/>
        <v>-6.5751412185299452E-2</v>
      </c>
      <c r="N117" s="47">
        <f t="shared" si="16"/>
        <v>-18878306</v>
      </c>
      <c r="O117" s="265">
        <f t="shared" si="17"/>
        <v>1.2391871635468981</v>
      </c>
      <c r="P117" s="47">
        <f>IFERROR(INDEX('Prior Year Data Pull'!$A$2:$CB$593,MATCH('Prior Year Data Table'!$C117,'Prior Year Data Pull'!$A$2:$A$593,0),MATCH("Total Net Assets or Equity",'Prior Year Data Pull'!$A$1:$CB$1,0)),"")</f>
        <v>65628359</v>
      </c>
      <c r="Q117" s="47">
        <f>IFERROR(INDEX('Prior Year Data Pull'!$A$2:$CB$593,MATCH('Prior Year Data Table'!$C117,'Prior Year Data Pull'!$A$2:$A$593,0),MATCH("Total Operating Revenue",'Prior Year Data Pull'!$A$1:$CB$1,0)),"")</f>
        <v>317725135</v>
      </c>
      <c r="R117" s="47">
        <f>IFERROR(INDEX('Prior Year Data Pull'!$A$2:$CB$593,MATCH('Prior Year Data Table'!$C117,'Prior Year Data Pull'!$A$2:$A$593,0),MATCH("Total Unrestricted Revenue Gains and Other Support",'Prior Year Data Pull'!$A$1:$CB$1,0)),"")</f>
        <v>287116358</v>
      </c>
      <c r="S117" s="47">
        <f>IFERROR(INDEX('Prior Year TS Data Pull'!$K$2:$K$607,MATCH(C117,'Prior Year TS Data Pull'!$A$2:$A$607,0))+INDEX('Prior Year TS Data Pull'!$O$2:$O$119,MATCH(C117,'Prior Year TS Data Pull'!$A$2:$A$607,0))+INDEX('Prior Year TS Data Pull'!$S$2:$S$119,MATCH(C117,'Prior Year TS Data Pull'!$A$2:$A$607,0)),"")</f>
        <v>0</v>
      </c>
      <c r="T117" s="47">
        <f>IF(INDEX('Prior Year TS Data Pull'!$A$1:$O$607,MATCH(C117,'Prior Year TS Data Pull'!$A$1:$A$607,0),MATCH("Temporary RN Staffing:
Line Reported on in Standardized Financials",'Prior Year TS Data Pull'!$A$1:$O$1,0))="66.1: Salary and Benefit Expense",'Prior Year Data Table'!$AV117-'Prior Year Data Table'!$S117,0)</f>
        <v>0</v>
      </c>
      <c r="U117" s="47">
        <f>IFERROR(INDEX('Prior Year Data Pull'!$A$2:$CB$593,MATCH(C117,'Prior Year Data Pull'!$A$2:$A$593,0),MATCH("Total Expenses Including Nonrecurring Gains Losses",'Prior Year Data Pull'!$A$1:$CB$1,0)),"")</f>
        <v>305994664</v>
      </c>
      <c r="V117" s="266">
        <f t="shared" si="18"/>
        <v>13.545874832520848</v>
      </c>
      <c r="W117" s="266">
        <f t="shared" si="19"/>
        <v>56.046552436220182</v>
      </c>
      <c r="X117" s="266">
        <f t="shared" si="20"/>
        <v>65.314609098350559</v>
      </c>
      <c r="Y117" s="45">
        <f t="shared" si="21"/>
        <v>-0.61087013497957987</v>
      </c>
      <c r="Z117" s="266">
        <f t="shared" si="22"/>
        <v>23.214969021547294</v>
      </c>
      <c r="AA117" s="265">
        <f t="shared" si="23"/>
        <v>-0.5335300204059682</v>
      </c>
      <c r="AB117" s="45">
        <f t="shared" si="24"/>
        <v>0.42069634030160558</v>
      </c>
      <c r="AC117" s="45">
        <f t="shared" si="25"/>
        <v>0.24672397995228995</v>
      </c>
      <c r="AD117" s="47">
        <f>IFERROR(INDEX('Prior Year Data Pull'!$A$2:$CB$593,MATCH(C117,'Prior Year Data Pull'!$A$2:$A$593,0),MATCH("Net Patient Service Revenue",'Prior Year Data Pull'!$A$1:$CB$1,0)),"")</f>
        <v>264147615</v>
      </c>
      <c r="AE117" s="47">
        <f>IFERROR(INDEX('Prior Year Data Pull'!$A$2:$CB$593,MATCH(C117,'Prior Year Data Pull'!$A$2:$A$593,0),MATCH("Total Current Assets",'Prior Year Data Pull'!$A$1:$CB$1,0)),"")</f>
        <v>72198929</v>
      </c>
      <c r="AF117" s="47">
        <f>IFERROR(INDEX('Prior Year Data Pull'!$A$2:$CB$593,MATCH(C117,'Prior Year Data Pull'!$A$2:$A$593,0),MATCH("Total Current Liabilities",'Prior Year Data Pull'!$A$1:$CB$1,0)),"")</f>
        <v>58263135</v>
      </c>
      <c r="AG117" s="47">
        <f>IFERROR(INDEX('Prior Year Data Pull'!$A$2:$CB$593,MATCH(C117,'Prior Year Data Pull'!$A$2:$A$593,0),MATCH("Total Non Operating Revenue",'Prior Year Data Pull'!$A$1:$CB$1,0)),"")</f>
        <v>-30608777</v>
      </c>
      <c r="AH117" s="47">
        <f>IFERROR(INDEX('Prior Year Data Pull'!$A$2:$CB$593,MATCH(C117,'Prior Year Data Pull'!$A$2:$A$593,0),MATCH("Less Accumulated Depreciation",'Prior Year Data Pull'!$A$1:$CB$1,0)),"")</f>
        <v>97926624</v>
      </c>
      <c r="AI117" s="47">
        <f>IFERROR(INDEX('Prior Year Data Pull'!$A$2:$CB$593,MATCH(C117,'Prior Year Data Pull'!$A$2:$A$593,0),MATCH("Depreciation and Amortization Expense",'Prior Year Data Pull'!$A$1:$CB$1,0)),"")</f>
        <v>7229258</v>
      </c>
      <c r="AJ117" s="47">
        <f>IFERROR(INDEX('Prior Year Data Pull'!$A$2:$CB$593,MATCH(C117,'Prior Year Data Pull'!$A$2:$A$593,0),MATCH("Net Patient Accounts Receivable",'Prior Year Data Pull'!$A$1:$CB$1,0)),"")</f>
        <v>40560447</v>
      </c>
      <c r="AK117" s="46">
        <v>365</v>
      </c>
      <c r="AL117" s="47">
        <f>IFERROR(INDEX('Prior Year Data Pull'!$A$2:$CB$593,MATCH(C117,'Prior Year Data Pull'!$A$2:$A$593,0),MATCH("Estimated Third Party Settlements",'Prior Year Data Pull'!$A$1:$CB$1,0)),"")</f>
        <v>4800818</v>
      </c>
      <c r="AM117" s="47">
        <f>IFERROR(INDEX('Prior Year Data Pull'!$A$2:$CB$593,MATCH(C117,'Prior Year Data Pull'!$A$2:$A$593,0),MATCH("Current Liabilities due to Affiliates",'Prior Year Data Pull'!$A$1:$CB$1,0)),"")</f>
        <v>0</v>
      </c>
      <c r="AN117" s="47">
        <f>IFERROR(INDEX('Prior Year Data Pull'!$A$2:$CB$593,MATCH(C117,'Prior Year Data Pull'!$A$2:$A$593,0),MATCH("Short Term Investments",'Prior Year Data Pull'!$A$1:$CB$1,0)),"")</f>
        <v>334880</v>
      </c>
      <c r="AO117" s="47">
        <f>IFERROR(INDEX('Prior Year Data Pull'!$A$2:$CB$593,MATCH(C117,'Prior Year Data Pull'!$A$2:$A$593,0),MATCH("Cash and Cash Equivalents",'Prior Year Data Pull'!$A$1:$CB$1,0)),"")</f>
        <v>18667393</v>
      </c>
      <c r="AP117" s="47">
        <f>IFERROR(INDEX('Prior Year Data Pull'!$A$2:$CB$593,MATCH(C117,'Prior Year Data Pull'!$A$2:$A$593,0),MATCH("Interest Expense",'Prior Year Data Pull'!$A$1:$CB$1,0)),"")</f>
        <v>950771</v>
      </c>
      <c r="AQ117" s="47">
        <f>IFERROR(INDEX('Prior Year Data Pull'!$A$2:$CB$593,MATCH(C117,'Prior Year Data Pull'!$A$2:$A$593,0),MATCH("Long Term Debt Net of Current Portion",'Prior Year Data Pull'!$A$1:$CB$1,0)),"")</f>
        <v>18852259</v>
      </c>
      <c r="AR117" s="47">
        <f>IFERROR(INDEX('Prior Year Data Pull'!$A$2:$CB$593,MATCH(C117,'Prior Year Data Pull'!$A$2:$A$593,0),MATCH("Total Assets",'Prior Year Data Pull'!$A$1:$CB$1,0)),"")</f>
        <v>155999358</v>
      </c>
      <c r="AS117" s="47">
        <f>IFERROR(INDEX('Prior Year Data Pull'!$A$2:$CB$593,MATCH(C117,'Prior Year Data Pull'!$A$2:$A$593,0),MATCH("Long Term Debt Net of Current Portion",'Prior Year Data Pull'!$A$1:$CB$1,0)),"")</f>
        <v>18852259</v>
      </c>
      <c r="AT117" s="47">
        <f>IFERROR(INDEX('Prior Year Data Pull'!$A$2:$CB$593,MATCH(C117,'Prior Year Data Pull'!$A$2:$A$593,0),MATCH("Net Unrestricted Assets",'Prior Year Data Pull'!$A$1:$CB$1,0)),"")</f>
        <v>57558064</v>
      </c>
      <c r="AU117" s="47">
        <f>IFERROR(INDEX('Prior Year Data Pull'!$A$2:$CB$593,MATCH(C117,'Prior Year Data Pull'!$A$2:$A$593,0),MATCH("Unrealized Gains/Losses",'Prior Year Data Pull'!$A$1:$CB$1,0)),"")</f>
        <v>-132766</v>
      </c>
      <c r="AV117" s="47">
        <f>IFERROR(INDEX('Prior Year Data Pull'!$A$2:$CB$593,MATCH(C117,'Prior Year Data Pull'!$A$2:$A$593,0),MATCH("Salary and Benefit Expense",'Prior Year Data Pull'!$A$1:$CB$1,0)),"")</f>
        <v>194631125</v>
      </c>
    </row>
    <row r="118" spans="1:48" ht="34.200000000000003" x14ac:dyDescent="0.3">
      <c r="A118" s="14" t="str">
        <f>IFERROR(INDEX('Static Data Tab'!$N$2:$N$610,MATCH(D118,'Static Data Tab'!$D$2:$D$610,0)), "")</f>
        <v>Berkshire Health Systems</v>
      </c>
      <c r="B118" s="14" t="s">
        <v>207</v>
      </c>
      <c r="C118" s="14">
        <v>21965</v>
      </c>
      <c r="D118" s="14">
        <v>3106</v>
      </c>
      <c r="E118" s="14" t="str">
        <f>IFERROR(INDEX('Prior Year Data Pull'!$A$1:$CB$593,MATCH(C118,'Prior Year Data Pull'!$A$1:$A$593,0),MATCH("Organization Type",'Prior Year Data Pull'!$A$1:$CB$1,0)),"")</f>
        <v>AcuteHospital</v>
      </c>
      <c r="F118" s="14" t="str">
        <f>IFERROR(INDEX('Static Data Tab'!$E$2:$E$610,MATCH(C118,'Static Data Tab'!$B$2:$B$610,0)), "-")</f>
        <v>Community-High Public Payer Hospital</v>
      </c>
      <c r="G118" s="14" t="str">
        <f>IFERROR(INDEX('Static Data Tab'!$J$2:$J$610,MATCH(C118,'Static Data Tab'!$B$2:$B$610,0)), "")</f>
        <v>Western Massachusetts</v>
      </c>
      <c r="H118" s="14">
        <f>IFERROR(INDEX('Static Data Tab'!$F$2:$F$610,MATCH(C118,'Static Data Tab'!$B$2:$B$610,0)), "")</f>
        <v>0</v>
      </c>
      <c r="I118" s="14">
        <f>IFERROR(INDEX('Static Data Tab'!$G$2:$G$610,MATCH(C118,'Static Data Tab'!$B$2:$B$610,0)), "")</f>
        <v>0</v>
      </c>
      <c r="J118" s="14" t="str">
        <f>IFERROR(INDEX('Prior Year Data Pull'!$A$2:$CB$593,MATCH(C118,'Prior Year Data Pull'!$A$2:$A$593,0),MATCH("Quarter Range",'Prior Year Data Pull'!$A$1:$CB$1,0)),"")</f>
        <v xml:space="preserve">10/01/2024-09/30/2025
</v>
      </c>
      <c r="K118" s="37">
        <f t="shared" si="13"/>
        <v>3.5163568511807949E-2</v>
      </c>
      <c r="L118" s="37">
        <f t="shared" si="14"/>
        <v>0</v>
      </c>
      <c r="M118" s="37">
        <f t="shared" si="15"/>
        <v>3.5163568511807949E-2</v>
      </c>
      <c r="N118" s="38">
        <f t="shared" si="16"/>
        <v>1699584</v>
      </c>
      <c r="O118" s="39">
        <f t="shared" si="17"/>
        <v>0.20216903737492814</v>
      </c>
      <c r="P118" s="38">
        <f>IFERROR(INDEX('Prior Year Data Pull'!$A$2:$CB$593,MATCH('Prior Year Data Table'!$C118,'Prior Year Data Pull'!$A$2:$A$593,0),MATCH("Total Net Assets or Equity",'Prior Year Data Pull'!$A$1:$CB$1,0)),"")</f>
        <v>-4086722</v>
      </c>
      <c r="Q118" s="38">
        <f>IFERROR(INDEX('Prior Year Data Pull'!$A$2:$CB$593,MATCH('Prior Year Data Table'!$C118,'Prior Year Data Pull'!$A$2:$A$593,0),MATCH("Total Operating Revenue",'Prior Year Data Pull'!$A$1:$CB$1,0)),"")</f>
        <v>48333661</v>
      </c>
      <c r="R118" s="38">
        <f>IFERROR(INDEX('Prior Year Data Pull'!$A$2:$CB$593,MATCH('Prior Year Data Table'!$C118,'Prior Year Data Pull'!$A$2:$A$593,0),MATCH("Total Unrestricted Revenue Gains and Other Support",'Prior Year Data Pull'!$A$1:$CB$1,0)),"")</f>
        <v>48333661</v>
      </c>
      <c r="S118" s="38">
        <f>IFERROR(INDEX('Prior Year TS Data Pull'!$K$2:$K$607,MATCH(C118,'Prior Year TS Data Pull'!$A$2:$A$607,0))+INDEX('Prior Year TS Data Pull'!$O$2:$O$119,MATCH(C118,'Prior Year TS Data Pull'!$A$2:$A$607,0))+INDEX('Prior Year TS Data Pull'!$S$2:$S$119,MATCH(C118,'Prior Year TS Data Pull'!$A$2:$A$607,0)),"")</f>
        <v>382772.24</v>
      </c>
      <c r="T118" s="38">
        <f>IF(INDEX('Prior Year TS Data Pull'!$A$1:$O$607,MATCH(C118,'Prior Year TS Data Pull'!$A$1:$A$607,0),MATCH("Temporary RN Staffing:
Line Reported on in Standardized Financials",'Prior Year TS Data Pull'!$A$1:$O$1,0))="66.1: Salary and Benefit Expense",'Prior Year Data Table'!$AV118-'Prior Year Data Table'!$S118,0)</f>
        <v>0</v>
      </c>
      <c r="U118" s="38">
        <f>IFERROR(INDEX('Prior Year Data Pull'!$A$2:$CB$593,MATCH(C118,'Prior Year Data Pull'!$A$2:$A$593,0),MATCH("Total Expenses Including Nonrecurring Gains Losses",'Prior Year Data Pull'!$A$1:$CB$1,0)),"")</f>
        <v>46634077</v>
      </c>
      <c r="V118" s="41">
        <f t="shared" si="18"/>
        <v>5.8617688535623858</v>
      </c>
      <c r="W118" s="41">
        <f t="shared" si="19"/>
        <v>37.195017186939445</v>
      </c>
      <c r="X118" s="41">
        <f t="shared" si="20"/>
        <v>188.33762291025576</v>
      </c>
      <c r="Y118" s="37">
        <f t="shared" si="21"/>
        <v>0.2137331380035013</v>
      </c>
      <c r="Z118" s="41">
        <f t="shared" si="22"/>
        <v>0.13273404771856775</v>
      </c>
      <c r="AA118" s="39" t="str">
        <f t="shared" si="23"/>
        <v/>
      </c>
      <c r="AB118" s="37">
        <f t="shared" si="24"/>
        <v>-0.16199176778495891</v>
      </c>
      <c r="AC118" s="37">
        <f t="shared" si="25"/>
        <v>0</v>
      </c>
      <c r="AD118" s="38">
        <f>IFERROR(INDEX('Prior Year Data Pull'!$A$2:$CB$593,MATCH(C118,'Prior Year Data Pull'!$A$2:$A$593,0),MATCH("Net Patient Service Revenue",'Prior Year Data Pull'!$A$1:$CB$1,0)),"")</f>
        <v>46449224</v>
      </c>
      <c r="AE118" s="38">
        <f>IFERROR(INDEX('Prior Year Data Pull'!$A$2:$CB$593,MATCH(C118,'Prior Year Data Pull'!$A$2:$A$593,0),MATCH("Total Current Assets",'Prior Year Data Pull'!$A$1:$CB$1,0)),"")</f>
        <v>5730988</v>
      </c>
      <c r="AF118" s="38">
        <f>IFERROR(INDEX('Prior Year Data Pull'!$A$2:$CB$593,MATCH(C118,'Prior Year Data Pull'!$A$2:$A$593,0),MATCH("Total Current Liabilities",'Prior Year Data Pull'!$A$1:$CB$1,0)),"")</f>
        <v>28347506</v>
      </c>
      <c r="AG118" s="38">
        <f>IFERROR(INDEX('Prior Year Data Pull'!$A$2:$CB$593,MATCH(C118,'Prior Year Data Pull'!$A$2:$A$593,0),MATCH("Total Non Operating Revenue",'Prior Year Data Pull'!$A$1:$CB$1,0)),"")</f>
        <v>0</v>
      </c>
      <c r="AH118" s="38">
        <f>IFERROR(INDEX('Prior Year Data Pull'!$A$2:$CB$593,MATCH(C118,'Prior Year Data Pull'!$A$2:$A$593,0),MATCH("Less Accumulated Depreciation",'Prior Year Data Pull'!$A$1:$CB$1,0)),"")</f>
        <v>14631444</v>
      </c>
      <c r="AI118" s="38">
        <f>IFERROR(INDEX('Prior Year Data Pull'!$A$2:$CB$593,MATCH(C118,'Prior Year Data Pull'!$A$2:$A$593,0),MATCH("Depreciation and Amortization Expense",'Prior Year Data Pull'!$A$1:$CB$1,0)),"")</f>
        <v>2496080</v>
      </c>
      <c r="AJ118" s="38">
        <f>IFERROR(INDEX('Prior Year Data Pull'!$A$2:$CB$593,MATCH(C118,'Prior Year Data Pull'!$A$2:$A$593,0),MATCH("Net Patient Accounts Receivable",'Prior Year Data Pull'!$A$1:$CB$1,0)),"")</f>
        <v>4733369</v>
      </c>
      <c r="AK118" s="14">
        <v>365</v>
      </c>
      <c r="AL118" s="38">
        <f>IFERROR(INDEX('Prior Year Data Pull'!$A$2:$CB$593,MATCH(C118,'Prior Year Data Pull'!$A$2:$A$593,0),MATCH("Estimated Third Party Settlements",'Prior Year Data Pull'!$A$1:$CB$1,0)),"")</f>
        <v>5572587</v>
      </c>
      <c r="AM118" s="38">
        <f>IFERROR(INDEX('Prior Year Data Pull'!$A$2:$CB$593,MATCH(C118,'Prior Year Data Pull'!$A$2:$A$593,0),MATCH("Current Liabilities due to Affiliates",'Prior Year Data Pull'!$A$1:$CB$1,0)),"")</f>
        <v>19630386</v>
      </c>
      <c r="AN118" s="38">
        <f>IFERROR(INDEX('Prior Year Data Pull'!$A$2:$CB$593,MATCH(C118,'Prior Year Data Pull'!$A$2:$A$593,0),MATCH("Short Term Investments",'Prior Year Data Pull'!$A$1:$CB$1,0)),"")</f>
        <v>0</v>
      </c>
      <c r="AO118" s="38">
        <f>IFERROR(INDEX('Prior Year Data Pull'!$A$2:$CB$593,MATCH(C118,'Prior Year Data Pull'!$A$2:$A$593,0),MATCH("Cash and Cash Equivalents",'Prior Year Data Pull'!$A$1:$CB$1,0)),"")</f>
        <v>16051</v>
      </c>
      <c r="AP118" s="38">
        <f>IFERROR(INDEX('Prior Year Data Pull'!$A$2:$CB$593,MATCH(C118,'Prior Year Data Pull'!$A$2:$A$593,0),MATCH("Interest Expense",'Prior Year Data Pull'!$A$1:$CB$1,0)),"")</f>
        <v>0</v>
      </c>
      <c r="AQ118" s="38">
        <f>IFERROR(INDEX('Prior Year Data Pull'!$A$2:$CB$593,MATCH(C118,'Prior Year Data Pull'!$A$2:$A$593,0),MATCH("Long Term Debt Net of Current Portion",'Prior Year Data Pull'!$A$1:$CB$1,0)),"")</f>
        <v>0</v>
      </c>
      <c r="AR118" s="38">
        <f>IFERROR(INDEX('Prior Year Data Pull'!$A$2:$CB$593,MATCH(C118,'Prior Year Data Pull'!$A$2:$A$593,0),MATCH("Total Assets",'Prior Year Data Pull'!$A$1:$CB$1,0)),"")</f>
        <v>25227961</v>
      </c>
      <c r="AS118" s="38">
        <f>IFERROR(INDEX('Prior Year Data Pull'!$A$2:$CB$593,MATCH(C118,'Prior Year Data Pull'!$A$2:$A$593,0),MATCH("Long Term Debt Net of Current Portion",'Prior Year Data Pull'!$A$1:$CB$1,0)),"")</f>
        <v>0</v>
      </c>
      <c r="AT118" s="38">
        <f>IFERROR(INDEX('Prior Year Data Pull'!$A$2:$CB$593,MATCH(C118,'Prior Year Data Pull'!$A$2:$A$593,0),MATCH("Net Unrestricted Assets",'Prior Year Data Pull'!$A$1:$CB$1,0)),"")</f>
        <v>-4096722</v>
      </c>
      <c r="AU118" s="38">
        <f>IFERROR(INDEX('Prior Year Data Pull'!$A$2:$CB$593,MATCH(C118,'Prior Year Data Pull'!$A$2:$A$593,0),MATCH("Unrealized Gains/Losses",'Prior Year Data Pull'!$A$1:$CB$1,0)),"")</f>
        <v>0</v>
      </c>
      <c r="AV118" s="38">
        <f>IFERROR(INDEX('Prior Year Data Pull'!$A$2:$CB$593,MATCH(C118,'Prior Year Data Pull'!$A$2:$A$593,0),MATCH("Salary and Benefit Expense",'Prior Year Data Pull'!$A$1:$CB$1,0)),"")</f>
        <v>21480734</v>
      </c>
    </row>
    <row r="119" spans="1:48" x14ac:dyDescent="0.3">
      <c r="AK119" s="40"/>
    </row>
    <row r="120" spans="1:48" x14ac:dyDescent="0.3">
      <c r="AK120" s="40"/>
    </row>
    <row r="121" spans="1:48" x14ac:dyDescent="0.3">
      <c r="AK121" s="40"/>
    </row>
    <row r="122" spans="1:48" x14ac:dyDescent="0.3">
      <c r="AK122" s="40"/>
    </row>
    <row r="123" spans="1:48" x14ac:dyDescent="0.3">
      <c r="AK123" s="40"/>
    </row>
    <row r="124" spans="1:48" x14ac:dyDescent="0.3">
      <c r="AK124" s="40"/>
    </row>
    <row r="125" spans="1:48" x14ac:dyDescent="0.3">
      <c r="AK125" s="40"/>
    </row>
    <row r="126" spans="1:48" x14ac:dyDescent="0.3">
      <c r="AK126" s="40"/>
    </row>
    <row r="127" spans="1:48" x14ac:dyDescent="0.3">
      <c r="AK127" s="40"/>
    </row>
    <row r="128" spans="1:48" x14ac:dyDescent="0.3">
      <c r="AK128" s="40"/>
    </row>
    <row r="129" spans="37:37" x14ac:dyDescent="0.3">
      <c r="AK129" s="40"/>
    </row>
    <row r="130" spans="37:37" x14ac:dyDescent="0.3">
      <c r="AK130" s="40"/>
    </row>
    <row r="131" spans="37:37" x14ac:dyDescent="0.3">
      <c r="AK131" s="40"/>
    </row>
    <row r="132" spans="37:37" x14ac:dyDescent="0.3">
      <c r="AK132" s="40"/>
    </row>
    <row r="133" spans="37:37" x14ac:dyDescent="0.3">
      <c r="AK133" s="40"/>
    </row>
    <row r="134" spans="37:37" x14ac:dyDescent="0.3">
      <c r="AK134" s="40"/>
    </row>
    <row r="135" spans="37:37" x14ac:dyDescent="0.3">
      <c r="AK135" s="40"/>
    </row>
    <row r="136" spans="37:37" x14ac:dyDescent="0.3">
      <c r="AK136" s="40"/>
    </row>
    <row r="137" spans="37:37" x14ac:dyDescent="0.3">
      <c r="AK137" s="40"/>
    </row>
    <row r="138" spans="37:37" x14ac:dyDescent="0.3">
      <c r="AK138" s="40"/>
    </row>
    <row r="139" spans="37:37" x14ac:dyDescent="0.3">
      <c r="AK139" s="40"/>
    </row>
    <row r="140" spans="37:37" x14ac:dyDescent="0.3">
      <c r="AK140" s="40"/>
    </row>
    <row r="141" spans="37:37" x14ac:dyDescent="0.3">
      <c r="AK141" s="40"/>
    </row>
    <row r="142" spans="37:37" x14ac:dyDescent="0.3">
      <c r="AK142" s="40"/>
    </row>
    <row r="143" spans="37:37" x14ac:dyDescent="0.3">
      <c r="AK143" s="40"/>
    </row>
    <row r="144" spans="37:37" x14ac:dyDescent="0.3">
      <c r="AK144" s="40"/>
    </row>
    <row r="145" spans="37:37" x14ac:dyDescent="0.3">
      <c r="AK145" s="40"/>
    </row>
    <row r="146" spans="37:37" x14ac:dyDescent="0.3">
      <c r="AK146" s="40"/>
    </row>
    <row r="147" spans="37:37" x14ac:dyDescent="0.3">
      <c r="AK147" s="40"/>
    </row>
    <row r="148" spans="37:37" x14ac:dyDescent="0.3">
      <c r="AK148" s="40"/>
    </row>
    <row r="149" spans="37:37" x14ac:dyDescent="0.3">
      <c r="AK149" s="40"/>
    </row>
    <row r="150" spans="37:37" x14ac:dyDescent="0.3">
      <c r="AK150" s="40"/>
    </row>
    <row r="151" spans="37:37" x14ac:dyDescent="0.3">
      <c r="AK151" s="40"/>
    </row>
    <row r="152" spans="37:37" x14ac:dyDescent="0.3">
      <c r="AK152" s="40"/>
    </row>
    <row r="153" spans="37:37" x14ac:dyDescent="0.3">
      <c r="AK153" s="40"/>
    </row>
    <row r="154" spans="37:37" x14ac:dyDescent="0.3">
      <c r="AK154" s="40"/>
    </row>
    <row r="155" spans="37:37" x14ac:dyDescent="0.3">
      <c r="AK155" s="40"/>
    </row>
    <row r="156" spans="37:37" x14ac:dyDescent="0.3">
      <c r="AK156" s="40"/>
    </row>
    <row r="157" spans="37:37" x14ac:dyDescent="0.3">
      <c r="AK157" s="40"/>
    </row>
    <row r="158" spans="37:37" x14ac:dyDescent="0.3">
      <c r="AK158" s="40"/>
    </row>
    <row r="159" spans="37:37" x14ac:dyDescent="0.3">
      <c r="AK159" s="40"/>
    </row>
    <row r="160" spans="37:37" x14ac:dyDescent="0.3">
      <c r="AK160" s="40"/>
    </row>
    <row r="161" spans="37:37" x14ac:dyDescent="0.3">
      <c r="AK161" s="40"/>
    </row>
    <row r="162" spans="37:37" x14ac:dyDescent="0.3">
      <c r="AK162" s="40"/>
    </row>
    <row r="163" spans="37:37" x14ac:dyDescent="0.3">
      <c r="AK163" s="40"/>
    </row>
    <row r="164" spans="37:37" x14ac:dyDescent="0.3">
      <c r="AK164" s="40"/>
    </row>
    <row r="165" spans="37:37" x14ac:dyDescent="0.3">
      <c r="AK165" s="40"/>
    </row>
    <row r="166" spans="37:37" x14ac:dyDescent="0.3">
      <c r="AK166" s="40"/>
    </row>
    <row r="167" spans="37:37" x14ac:dyDescent="0.3">
      <c r="AK167" s="40"/>
    </row>
    <row r="168" spans="37:37" x14ac:dyDescent="0.3">
      <c r="AK168" s="40"/>
    </row>
    <row r="169" spans="37:37" x14ac:dyDescent="0.3">
      <c r="AK169" s="40"/>
    </row>
    <row r="170" spans="37:37" x14ac:dyDescent="0.3">
      <c r="AK170" s="40"/>
    </row>
    <row r="171" spans="37:37" x14ac:dyDescent="0.3">
      <c r="AK171" s="40"/>
    </row>
    <row r="172" spans="37:37" x14ac:dyDescent="0.3">
      <c r="AK172" s="40"/>
    </row>
    <row r="173" spans="37:37" x14ac:dyDescent="0.3">
      <c r="AK173" s="40"/>
    </row>
    <row r="174" spans="37:37" x14ac:dyDescent="0.3">
      <c r="AK174" s="40"/>
    </row>
    <row r="175" spans="37:37" x14ac:dyDescent="0.3">
      <c r="AK175" s="40"/>
    </row>
    <row r="176" spans="37:37" x14ac:dyDescent="0.3">
      <c r="AK176" s="40"/>
    </row>
    <row r="177" spans="37:37" x14ac:dyDescent="0.3">
      <c r="AK177" s="40"/>
    </row>
    <row r="178" spans="37:37" x14ac:dyDescent="0.3">
      <c r="AK178" s="40"/>
    </row>
    <row r="179" spans="37:37" x14ac:dyDescent="0.3">
      <c r="AK179" s="40"/>
    </row>
    <row r="180" spans="37:37" x14ac:dyDescent="0.3">
      <c r="AK180" s="40"/>
    </row>
    <row r="181" spans="37:37" x14ac:dyDescent="0.3">
      <c r="AK181" s="40"/>
    </row>
    <row r="182" spans="37:37" x14ac:dyDescent="0.3">
      <c r="AK182" s="40"/>
    </row>
    <row r="183" spans="37:37" x14ac:dyDescent="0.3">
      <c r="AK183" s="40"/>
    </row>
    <row r="184" spans="37:37" x14ac:dyDescent="0.3">
      <c r="AK184" s="40"/>
    </row>
    <row r="185" spans="37:37" x14ac:dyDescent="0.3">
      <c r="AK185" s="40"/>
    </row>
    <row r="186" spans="37:37" x14ac:dyDescent="0.3">
      <c r="AK186" s="40"/>
    </row>
    <row r="187" spans="37:37" x14ac:dyDescent="0.3">
      <c r="AK187" s="40"/>
    </row>
    <row r="188" spans="37:37" x14ac:dyDescent="0.3">
      <c r="AK188" s="40"/>
    </row>
    <row r="189" spans="37:37" x14ac:dyDescent="0.3">
      <c r="AK189" s="40"/>
    </row>
    <row r="190" spans="37:37" x14ac:dyDescent="0.3">
      <c r="AK190" s="40"/>
    </row>
    <row r="191" spans="37:37" x14ac:dyDescent="0.3">
      <c r="AK191" s="40"/>
    </row>
    <row r="192" spans="37:37" x14ac:dyDescent="0.3">
      <c r="AK192" s="40"/>
    </row>
    <row r="193" spans="37:37" x14ac:dyDescent="0.3">
      <c r="AK193" s="40"/>
    </row>
    <row r="194" spans="37:37" x14ac:dyDescent="0.3">
      <c r="AK194" s="40"/>
    </row>
    <row r="195" spans="37:37" x14ac:dyDescent="0.3">
      <c r="AK195" s="40"/>
    </row>
    <row r="196" spans="37:37" x14ac:dyDescent="0.3">
      <c r="AK196" s="40"/>
    </row>
    <row r="197" spans="37:37" x14ac:dyDescent="0.3">
      <c r="AK197" s="40"/>
    </row>
    <row r="198" spans="37:37" x14ac:dyDescent="0.3">
      <c r="AK198" s="40"/>
    </row>
    <row r="199" spans="37:37" x14ac:dyDescent="0.3">
      <c r="AK199" s="40"/>
    </row>
    <row r="200" spans="37:37" x14ac:dyDescent="0.3">
      <c r="AK200" s="40"/>
    </row>
    <row r="201" spans="37:37" x14ac:dyDescent="0.3">
      <c r="AK201" s="40"/>
    </row>
    <row r="202" spans="37:37" x14ac:dyDescent="0.3">
      <c r="AK202" s="40"/>
    </row>
    <row r="203" spans="37:37" x14ac:dyDescent="0.3">
      <c r="AK203" s="40"/>
    </row>
    <row r="204" spans="37:37" x14ac:dyDescent="0.3">
      <c r="AK204" s="40"/>
    </row>
    <row r="205" spans="37:37" x14ac:dyDescent="0.3">
      <c r="AK205" s="40"/>
    </row>
    <row r="206" spans="37:37" x14ac:dyDescent="0.3">
      <c r="AK206" s="40"/>
    </row>
    <row r="207" spans="37:37" x14ac:dyDescent="0.3">
      <c r="AK207" s="40"/>
    </row>
    <row r="208" spans="37:37" x14ac:dyDescent="0.3">
      <c r="AK208" s="40"/>
    </row>
    <row r="209" spans="37:37" x14ac:dyDescent="0.3">
      <c r="AK209" s="40"/>
    </row>
    <row r="210" spans="37:37" x14ac:dyDescent="0.3">
      <c r="AK210" s="40"/>
    </row>
    <row r="211" spans="37:37" x14ac:dyDescent="0.3">
      <c r="AK211" s="40"/>
    </row>
    <row r="212" spans="37:37" x14ac:dyDescent="0.3">
      <c r="AK212" s="40"/>
    </row>
    <row r="213" spans="37:37" x14ac:dyDescent="0.3">
      <c r="AK213" s="40"/>
    </row>
    <row r="214" spans="37:37" x14ac:dyDescent="0.3">
      <c r="AK214" s="40"/>
    </row>
    <row r="215" spans="37:37" x14ac:dyDescent="0.3">
      <c r="AK215" s="40"/>
    </row>
    <row r="216" spans="37:37" x14ac:dyDescent="0.3">
      <c r="AK216" s="40"/>
    </row>
    <row r="217" spans="37:37" x14ac:dyDescent="0.3">
      <c r="AK217" s="40"/>
    </row>
    <row r="218" spans="37:37" x14ac:dyDescent="0.3">
      <c r="AK218" s="40"/>
    </row>
    <row r="219" spans="37:37" x14ac:dyDescent="0.3">
      <c r="AK219" s="40"/>
    </row>
    <row r="220" spans="37:37" x14ac:dyDescent="0.3">
      <c r="AK220" s="40"/>
    </row>
    <row r="221" spans="37:37" x14ac:dyDescent="0.3">
      <c r="AK221" s="40"/>
    </row>
    <row r="222" spans="37:37" x14ac:dyDescent="0.3">
      <c r="AK222" s="40"/>
    </row>
    <row r="223" spans="37:37" x14ac:dyDescent="0.3">
      <c r="AK223" s="40"/>
    </row>
    <row r="224" spans="37:37" x14ac:dyDescent="0.3">
      <c r="AK224" s="40"/>
    </row>
    <row r="225" spans="37:37" x14ac:dyDescent="0.3">
      <c r="AK225" s="40"/>
    </row>
    <row r="226" spans="37:37" x14ac:dyDescent="0.3">
      <c r="AK226" s="40"/>
    </row>
    <row r="227" spans="37:37" x14ac:dyDescent="0.3">
      <c r="AK227" s="40"/>
    </row>
    <row r="228" spans="37:37" x14ac:dyDescent="0.3">
      <c r="AK228" s="40"/>
    </row>
    <row r="229" spans="37:37" x14ac:dyDescent="0.3">
      <c r="AK229" s="40"/>
    </row>
    <row r="230" spans="37:37" x14ac:dyDescent="0.3">
      <c r="AK230" s="40"/>
    </row>
    <row r="231" spans="37:37" x14ac:dyDescent="0.3">
      <c r="AK231" s="40"/>
    </row>
    <row r="232" spans="37:37" x14ac:dyDescent="0.3">
      <c r="AK232" s="40"/>
    </row>
    <row r="233" spans="37:37" x14ac:dyDescent="0.3">
      <c r="AK233" s="40"/>
    </row>
    <row r="234" spans="37:37" x14ac:dyDescent="0.3">
      <c r="AK234" s="40"/>
    </row>
    <row r="235" spans="37:37" x14ac:dyDescent="0.3">
      <c r="AK235" s="40"/>
    </row>
    <row r="236" spans="37:37" x14ac:dyDescent="0.3">
      <c r="AK236" s="40"/>
    </row>
    <row r="237" spans="37:37" x14ac:dyDescent="0.3">
      <c r="AK237" s="40"/>
    </row>
    <row r="238" spans="37:37" x14ac:dyDescent="0.3">
      <c r="AK238" s="40"/>
    </row>
    <row r="239" spans="37:37" x14ac:dyDescent="0.3">
      <c r="AK239" s="40"/>
    </row>
    <row r="240" spans="37:37" x14ac:dyDescent="0.3">
      <c r="AK240" s="40"/>
    </row>
    <row r="241" spans="37:37" x14ac:dyDescent="0.3">
      <c r="AK241" s="40"/>
    </row>
    <row r="242" spans="37:37" x14ac:dyDescent="0.3">
      <c r="AK242" s="40"/>
    </row>
    <row r="243" spans="37:37" x14ac:dyDescent="0.3">
      <c r="AK243" s="40"/>
    </row>
    <row r="244" spans="37:37" x14ac:dyDescent="0.3">
      <c r="AK244" s="40"/>
    </row>
    <row r="245" spans="37:37" x14ac:dyDescent="0.3">
      <c r="AK245" s="40"/>
    </row>
    <row r="246" spans="37:37" x14ac:dyDescent="0.3">
      <c r="AK246" s="40"/>
    </row>
    <row r="247" spans="37:37" x14ac:dyDescent="0.3">
      <c r="AK247" s="40"/>
    </row>
    <row r="248" spans="37:37" x14ac:dyDescent="0.3">
      <c r="AK248" s="40"/>
    </row>
    <row r="249" spans="37:37" x14ac:dyDescent="0.3">
      <c r="AK249" s="40"/>
    </row>
    <row r="250" spans="37:37" x14ac:dyDescent="0.3">
      <c r="AK250" s="40"/>
    </row>
    <row r="251" spans="37:37" x14ac:dyDescent="0.3">
      <c r="AK251" s="40"/>
    </row>
    <row r="252" spans="37:37" x14ac:dyDescent="0.3">
      <c r="AK252" s="40"/>
    </row>
    <row r="253" spans="37:37" x14ac:dyDescent="0.3">
      <c r="AK253" s="40"/>
    </row>
    <row r="254" spans="37:37" x14ac:dyDescent="0.3">
      <c r="AK254" s="40"/>
    </row>
    <row r="255" spans="37:37" x14ac:dyDescent="0.3">
      <c r="AK255" s="40"/>
    </row>
    <row r="256" spans="37:37" x14ac:dyDescent="0.3">
      <c r="AK256" s="40"/>
    </row>
    <row r="257" spans="37:37" x14ac:dyDescent="0.3">
      <c r="AK257" s="40"/>
    </row>
    <row r="258" spans="37:37" x14ac:dyDescent="0.3">
      <c r="AK258" s="40"/>
    </row>
    <row r="259" spans="37:37" x14ac:dyDescent="0.3">
      <c r="AK259" s="40"/>
    </row>
    <row r="260" spans="37:37" x14ac:dyDescent="0.3">
      <c r="AK260" s="40"/>
    </row>
    <row r="261" spans="37:37" x14ac:dyDescent="0.3">
      <c r="AK261" s="40"/>
    </row>
    <row r="262" spans="37:37" x14ac:dyDescent="0.3">
      <c r="AK262" s="40"/>
    </row>
    <row r="263" spans="37:37" x14ac:dyDescent="0.3">
      <c r="AK263" s="40"/>
    </row>
    <row r="264" spans="37:37" x14ac:dyDescent="0.3">
      <c r="AK264" s="40"/>
    </row>
    <row r="265" spans="37:37" x14ac:dyDescent="0.3">
      <c r="AK265" s="40"/>
    </row>
    <row r="266" spans="37:37" x14ac:dyDescent="0.3">
      <c r="AK266" s="40"/>
    </row>
    <row r="267" spans="37:37" x14ac:dyDescent="0.3">
      <c r="AK267" s="40"/>
    </row>
    <row r="268" spans="37:37" x14ac:dyDescent="0.3">
      <c r="AK268" s="40"/>
    </row>
    <row r="269" spans="37:37" x14ac:dyDescent="0.3">
      <c r="AK269" s="40"/>
    </row>
    <row r="270" spans="37:37" x14ac:dyDescent="0.3">
      <c r="AK270" s="40"/>
    </row>
    <row r="271" spans="37:37" x14ac:dyDescent="0.3">
      <c r="AK271" s="40"/>
    </row>
    <row r="272" spans="37:37" x14ac:dyDescent="0.3">
      <c r="AK272" s="40"/>
    </row>
    <row r="273" spans="37:37" x14ac:dyDescent="0.3">
      <c r="AK273" s="40"/>
    </row>
    <row r="274" spans="37:37" x14ac:dyDescent="0.3">
      <c r="AK274" s="40"/>
    </row>
    <row r="275" spans="37:37" x14ac:dyDescent="0.3">
      <c r="AK275" s="40"/>
    </row>
    <row r="276" spans="37:37" x14ac:dyDescent="0.3">
      <c r="AK276" s="40"/>
    </row>
    <row r="277" spans="37:37" x14ac:dyDescent="0.3">
      <c r="AK277" s="40"/>
    </row>
    <row r="278" spans="37:37" x14ac:dyDescent="0.3">
      <c r="AK278" s="40"/>
    </row>
    <row r="279" spans="37:37" x14ac:dyDescent="0.3">
      <c r="AK279" s="40"/>
    </row>
    <row r="280" spans="37:37" x14ac:dyDescent="0.3">
      <c r="AK280" s="40"/>
    </row>
    <row r="281" spans="37:37" x14ac:dyDescent="0.3">
      <c r="AK281" s="40"/>
    </row>
    <row r="282" spans="37:37" x14ac:dyDescent="0.3">
      <c r="AK282" s="40"/>
    </row>
    <row r="283" spans="37:37" x14ac:dyDescent="0.3">
      <c r="AK283" s="40"/>
    </row>
    <row r="284" spans="37:37" x14ac:dyDescent="0.3">
      <c r="AK284" s="40"/>
    </row>
    <row r="285" spans="37:37" x14ac:dyDescent="0.3">
      <c r="AK285" s="40"/>
    </row>
    <row r="286" spans="37:37" x14ac:dyDescent="0.3">
      <c r="AK286" s="40"/>
    </row>
    <row r="287" spans="37:37" x14ac:dyDescent="0.3">
      <c r="AK287" s="40"/>
    </row>
    <row r="288" spans="37:37" x14ac:dyDescent="0.3">
      <c r="AK288" s="40"/>
    </row>
    <row r="289" spans="37:37" x14ac:dyDescent="0.3">
      <c r="AK289" s="40"/>
    </row>
    <row r="290" spans="37:37" x14ac:dyDescent="0.3">
      <c r="AK290" s="40"/>
    </row>
    <row r="291" spans="37:37" x14ac:dyDescent="0.3">
      <c r="AK291" s="40"/>
    </row>
    <row r="292" spans="37:37" x14ac:dyDescent="0.3">
      <c r="AK292" s="40"/>
    </row>
    <row r="293" spans="37:37" x14ac:dyDescent="0.3">
      <c r="AK293" s="40"/>
    </row>
    <row r="294" spans="37:37" x14ac:dyDescent="0.3">
      <c r="AK294" s="40"/>
    </row>
    <row r="295" spans="37:37" x14ac:dyDescent="0.3">
      <c r="AK295" s="40"/>
    </row>
    <row r="296" spans="37:37" x14ac:dyDescent="0.3">
      <c r="AK296" s="40"/>
    </row>
    <row r="297" spans="37:37" x14ac:dyDescent="0.3">
      <c r="AK297" s="40"/>
    </row>
    <row r="298" spans="37:37" x14ac:dyDescent="0.3">
      <c r="AK298" s="40"/>
    </row>
    <row r="299" spans="37:37" x14ac:dyDescent="0.3">
      <c r="AK299" s="40"/>
    </row>
    <row r="300" spans="37:37" x14ac:dyDescent="0.3">
      <c r="AK300" s="40"/>
    </row>
    <row r="301" spans="37:37" x14ac:dyDescent="0.3">
      <c r="AK301" s="40"/>
    </row>
    <row r="302" spans="37:37" x14ac:dyDescent="0.3">
      <c r="AK302" s="40"/>
    </row>
    <row r="303" spans="37:37" x14ac:dyDescent="0.3">
      <c r="AK303" s="40"/>
    </row>
    <row r="304" spans="37:37" x14ac:dyDescent="0.3">
      <c r="AK304" s="40"/>
    </row>
    <row r="305" spans="37:37" x14ac:dyDescent="0.3">
      <c r="AK305" s="40"/>
    </row>
    <row r="306" spans="37:37" x14ac:dyDescent="0.3">
      <c r="AK306" s="40"/>
    </row>
    <row r="307" spans="37:37" x14ac:dyDescent="0.3">
      <c r="AK307" s="40"/>
    </row>
    <row r="308" spans="37:37" x14ac:dyDescent="0.3">
      <c r="AK308" s="40"/>
    </row>
    <row r="309" spans="37:37" x14ac:dyDescent="0.3">
      <c r="AK309" s="40"/>
    </row>
    <row r="310" spans="37:37" x14ac:dyDescent="0.3">
      <c r="AK310" s="40"/>
    </row>
    <row r="311" spans="37:37" x14ac:dyDescent="0.3">
      <c r="AK311" s="40"/>
    </row>
    <row r="312" spans="37:37" x14ac:dyDescent="0.3">
      <c r="AK312" s="40"/>
    </row>
    <row r="313" spans="37:37" x14ac:dyDescent="0.3">
      <c r="AK313" s="40"/>
    </row>
    <row r="314" spans="37:37" x14ac:dyDescent="0.3">
      <c r="AK314" s="40"/>
    </row>
    <row r="315" spans="37:37" x14ac:dyDescent="0.3">
      <c r="AK315" s="40"/>
    </row>
    <row r="316" spans="37:37" x14ac:dyDescent="0.3">
      <c r="AK316" s="40"/>
    </row>
    <row r="317" spans="37:37" x14ac:dyDescent="0.3">
      <c r="AK317" s="40"/>
    </row>
    <row r="318" spans="37:37" x14ac:dyDescent="0.3">
      <c r="AK318" s="40"/>
    </row>
    <row r="319" spans="37:37" x14ac:dyDescent="0.3">
      <c r="AK319" s="40"/>
    </row>
    <row r="320" spans="37:37" x14ac:dyDescent="0.3">
      <c r="AK320" s="40"/>
    </row>
    <row r="321" spans="37:37" x14ac:dyDescent="0.3">
      <c r="AK321" s="40"/>
    </row>
    <row r="322" spans="37:37" x14ac:dyDescent="0.3">
      <c r="AK322" s="40"/>
    </row>
    <row r="323" spans="37:37" x14ac:dyDescent="0.3">
      <c r="AK323" s="40"/>
    </row>
    <row r="324" spans="37:37" x14ac:dyDescent="0.3">
      <c r="AK324" s="40"/>
    </row>
    <row r="325" spans="37:37" x14ac:dyDescent="0.3">
      <c r="AK325" s="40"/>
    </row>
    <row r="326" spans="37:37" x14ac:dyDescent="0.3">
      <c r="AK326" s="40"/>
    </row>
    <row r="327" spans="37:37" x14ac:dyDescent="0.3">
      <c r="AK327" s="40"/>
    </row>
    <row r="328" spans="37:37" x14ac:dyDescent="0.3">
      <c r="AK328" s="40"/>
    </row>
    <row r="329" spans="37:37" x14ac:dyDescent="0.3">
      <c r="AK329" s="40"/>
    </row>
    <row r="330" spans="37:37" x14ac:dyDescent="0.3">
      <c r="AK330" s="40"/>
    </row>
    <row r="331" spans="37:37" x14ac:dyDescent="0.3">
      <c r="AK331" s="40"/>
    </row>
    <row r="332" spans="37:37" x14ac:dyDescent="0.3">
      <c r="AK332" s="40"/>
    </row>
    <row r="333" spans="37:37" x14ac:dyDescent="0.3">
      <c r="AK333" s="40"/>
    </row>
    <row r="334" spans="37:37" x14ac:dyDescent="0.3">
      <c r="AK334" s="40"/>
    </row>
    <row r="335" spans="37:37" x14ac:dyDescent="0.3">
      <c r="AK335" s="40"/>
    </row>
    <row r="336" spans="37:37" x14ac:dyDescent="0.3">
      <c r="AK336" s="40"/>
    </row>
    <row r="337" spans="37:37" x14ac:dyDescent="0.3">
      <c r="AK337" s="40"/>
    </row>
    <row r="338" spans="37:37" x14ac:dyDescent="0.3">
      <c r="AK338" s="40"/>
    </row>
    <row r="339" spans="37:37" x14ac:dyDescent="0.3">
      <c r="AK339" s="40"/>
    </row>
    <row r="340" spans="37:37" x14ac:dyDescent="0.3">
      <c r="AK340" s="40"/>
    </row>
    <row r="341" spans="37:37" x14ac:dyDescent="0.3">
      <c r="AK341" s="40"/>
    </row>
    <row r="342" spans="37:37" x14ac:dyDescent="0.3">
      <c r="AK342" s="40"/>
    </row>
    <row r="343" spans="37:37" x14ac:dyDescent="0.3">
      <c r="AK343" s="40"/>
    </row>
    <row r="344" spans="37:37" x14ac:dyDescent="0.3">
      <c r="AK344" s="40"/>
    </row>
    <row r="345" spans="37:37" x14ac:dyDescent="0.3">
      <c r="AK345" s="40"/>
    </row>
    <row r="346" spans="37:37" x14ac:dyDescent="0.3">
      <c r="AK346" s="40"/>
    </row>
    <row r="347" spans="37:37" x14ac:dyDescent="0.3">
      <c r="AK347" s="40"/>
    </row>
    <row r="348" spans="37:37" x14ac:dyDescent="0.3">
      <c r="AK348" s="40"/>
    </row>
    <row r="349" spans="37:37" x14ac:dyDescent="0.3">
      <c r="AK349" s="40"/>
    </row>
    <row r="350" spans="37:37" x14ac:dyDescent="0.3">
      <c r="AK350" s="40"/>
    </row>
    <row r="351" spans="37:37" x14ac:dyDescent="0.3">
      <c r="AK351" s="40"/>
    </row>
    <row r="352" spans="37:37" x14ac:dyDescent="0.3">
      <c r="AK352" s="40"/>
    </row>
    <row r="353" spans="37:37" x14ac:dyDescent="0.3">
      <c r="AK353" s="40"/>
    </row>
    <row r="354" spans="37:37" x14ac:dyDescent="0.3">
      <c r="AK354" s="40"/>
    </row>
    <row r="355" spans="37:37" x14ac:dyDescent="0.3">
      <c r="AK355" s="40"/>
    </row>
    <row r="356" spans="37:37" x14ac:dyDescent="0.3">
      <c r="AK356" s="40"/>
    </row>
    <row r="357" spans="37:37" x14ac:dyDescent="0.3">
      <c r="AK357" s="40"/>
    </row>
    <row r="358" spans="37:37" x14ac:dyDescent="0.3">
      <c r="AK358" s="40"/>
    </row>
    <row r="359" spans="37:37" x14ac:dyDescent="0.3">
      <c r="AK359" s="40"/>
    </row>
    <row r="360" spans="37:37" x14ac:dyDescent="0.3">
      <c r="AK360" s="40"/>
    </row>
    <row r="361" spans="37:37" x14ac:dyDescent="0.3">
      <c r="AK361" s="40"/>
    </row>
    <row r="362" spans="37:37" x14ac:dyDescent="0.3">
      <c r="AK362" s="40"/>
    </row>
    <row r="363" spans="37:37" x14ac:dyDescent="0.3">
      <c r="AK363" s="40"/>
    </row>
    <row r="364" spans="37:37" x14ac:dyDescent="0.3">
      <c r="AK364" s="40"/>
    </row>
    <row r="365" spans="37:37" x14ac:dyDescent="0.3">
      <c r="AK365" s="40"/>
    </row>
    <row r="366" spans="37:37" x14ac:dyDescent="0.3">
      <c r="AK366" s="40"/>
    </row>
    <row r="367" spans="37:37" x14ac:dyDescent="0.3">
      <c r="AK367" s="40"/>
    </row>
    <row r="368" spans="37:37" x14ac:dyDescent="0.3">
      <c r="AK368" s="40"/>
    </row>
    <row r="369" spans="37:37" x14ac:dyDescent="0.3">
      <c r="AK369" s="40"/>
    </row>
    <row r="370" spans="37:37" x14ac:dyDescent="0.3">
      <c r="AK370" s="40"/>
    </row>
    <row r="371" spans="37:37" x14ac:dyDescent="0.3">
      <c r="AK371" s="40"/>
    </row>
    <row r="372" spans="37:37" x14ac:dyDescent="0.3">
      <c r="AK372" s="40"/>
    </row>
    <row r="373" spans="37:37" x14ac:dyDescent="0.3">
      <c r="AK373" s="40"/>
    </row>
    <row r="374" spans="37:37" x14ac:dyDescent="0.3">
      <c r="AK374" s="40"/>
    </row>
    <row r="375" spans="37:37" x14ac:dyDescent="0.3">
      <c r="AK375" s="40"/>
    </row>
    <row r="376" spans="37:37" x14ac:dyDescent="0.3">
      <c r="AK376" s="40"/>
    </row>
    <row r="377" spans="37:37" x14ac:dyDescent="0.3">
      <c r="AK377" s="40"/>
    </row>
    <row r="378" spans="37:37" x14ac:dyDescent="0.3">
      <c r="AK378" s="40"/>
    </row>
    <row r="379" spans="37:37" x14ac:dyDescent="0.3">
      <c r="AK379" s="40"/>
    </row>
    <row r="380" spans="37:37" x14ac:dyDescent="0.3">
      <c r="AK380" s="40"/>
    </row>
    <row r="381" spans="37:37" x14ac:dyDescent="0.3">
      <c r="AK381" s="40"/>
    </row>
    <row r="382" spans="37:37" x14ac:dyDescent="0.3">
      <c r="AK382" s="40"/>
    </row>
    <row r="383" spans="37:37" x14ac:dyDescent="0.3">
      <c r="AK383" s="40"/>
    </row>
    <row r="384" spans="37:37" x14ac:dyDescent="0.3">
      <c r="AK384" s="40"/>
    </row>
    <row r="385" spans="37:37" x14ac:dyDescent="0.3">
      <c r="AK385" s="40"/>
    </row>
    <row r="386" spans="37:37" x14ac:dyDescent="0.3">
      <c r="AK386" s="40"/>
    </row>
    <row r="387" spans="37:37" x14ac:dyDescent="0.3">
      <c r="AK387" s="40"/>
    </row>
    <row r="388" spans="37:37" x14ac:dyDescent="0.3">
      <c r="AK388" s="40"/>
    </row>
    <row r="389" spans="37:37" x14ac:dyDescent="0.3">
      <c r="AK389" s="40"/>
    </row>
    <row r="390" spans="37:37" x14ac:dyDescent="0.3">
      <c r="AK390" s="40"/>
    </row>
    <row r="391" spans="37:37" x14ac:dyDescent="0.3">
      <c r="AK391" s="40"/>
    </row>
    <row r="392" spans="37:37" x14ac:dyDescent="0.3">
      <c r="AK392" s="40"/>
    </row>
    <row r="393" spans="37:37" x14ac:dyDescent="0.3">
      <c r="AK393" s="40"/>
    </row>
    <row r="394" spans="37:37" x14ac:dyDescent="0.3">
      <c r="AK394" s="40"/>
    </row>
    <row r="395" spans="37:37" x14ac:dyDescent="0.3">
      <c r="AK395" s="40"/>
    </row>
    <row r="396" spans="37:37" x14ac:dyDescent="0.3">
      <c r="AK396" s="40"/>
    </row>
    <row r="397" spans="37:37" x14ac:dyDescent="0.3">
      <c r="AK397" s="40"/>
    </row>
    <row r="398" spans="37:37" x14ac:dyDescent="0.3">
      <c r="AK398" s="40"/>
    </row>
    <row r="399" spans="37:37" x14ac:dyDescent="0.3">
      <c r="AK399" s="40"/>
    </row>
    <row r="400" spans="37:37" x14ac:dyDescent="0.3">
      <c r="AK400" s="40"/>
    </row>
    <row r="401" spans="37:37" x14ac:dyDescent="0.3">
      <c r="AK401" s="40"/>
    </row>
    <row r="402" spans="37:37" x14ac:dyDescent="0.3">
      <c r="AK402" s="40"/>
    </row>
    <row r="403" spans="37:37" x14ac:dyDescent="0.3">
      <c r="AK403" s="40"/>
    </row>
    <row r="404" spans="37:37" x14ac:dyDescent="0.3">
      <c r="AK404" s="40"/>
    </row>
    <row r="405" spans="37:37" x14ac:dyDescent="0.3">
      <c r="AK405" s="40"/>
    </row>
    <row r="406" spans="37:37" x14ac:dyDescent="0.3">
      <c r="AK406" s="40"/>
    </row>
    <row r="407" spans="37:37" x14ac:dyDescent="0.3">
      <c r="AK407" s="40"/>
    </row>
    <row r="408" spans="37:37" x14ac:dyDescent="0.3">
      <c r="AK408" s="40"/>
    </row>
    <row r="409" spans="37:37" x14ac:dyDescent="0.3">
      <c r="AK409" s="40"/>
    </row>
    <row r="410" spans="37:37" x14ac:dyDescent="0.3">
      <c r="AK410" s="40"/>
    </row>
    <row r="411" spans="37:37" x14ac:dyDescent="0.3">
      <c r="AK411" s="40"/>
    </row>
    <row r="412" spans="37:37" x14ac:dyDescent="0.3">
      <c r="AK412" s="40"/>
    </row>
    <row r="413" spans="37:37" x14ac:dyDescent="0.3">
      <c r="AK413" s="40"/>
    </row>
    <row r="414" spans="37:37" x14ac:dyDescent="0.3">
      <c r="AK414" s="40"/>
    </row>
    <row r="415" spans="37:37" x14ac:dyDescent="0.3">
      <c r="AK415" s="40"/>
    </row>
    <row r="416" spans="37:37" x14ac:dyDescent="0.3">
      <c r="AK416" s="40"/>
    </row>
    <row r="417" spans="37:37" x14ac:dyDescent="0.3">
      <c r="AK417" s="40"/>
    </row>
    <row r="418" spans="37:37" x14ac:dyDescent="0.3">
      <c r="AK418" s="40"/>
    </row>
    <row r="419" spans="37:37" x14ac:dyDescent="0.3">
      <c r="AK419" s="40"/>
    </row>
    <row r="420" spans="37:37" x14ac:dyDescent="0.3">
      <c r="AK420" s="40"/>
    </row>
    <row r="421" spans="37:37" x14ac:dyDescent="0.3">
      <c r="AK421" s="40"/>
    </row>
    <row r="422" spans="37:37" x14ac:dyDescent="0.3">
      <c r="AK422" s="40"/>
    </row>
    <row r="423" spans="37:37" x14ac:dyDescent="0.3">
      <c r="AK423" s="40"/>
    </row>
    <row r="424" spans="37:37" x14ac:dyDescent="0.3">
      <c r="AK424" s="40"/>
    </row>
    <row r="425" spans="37:37" x14ac:dyDescent="0.3">
      <c r="AK425" s="40"/>
    </row>
    <row r="426" spans="37:37" x14ac:dyDescent="0.3">
      <c r="AK426" s="40"/>
    </row>
    <row r="427" spans="37:37" x14ac:dyDescent="0.3">
      <c r="AK427" s="40"/>
    </row>
    <row r="428" spans="37:37" x14ac:dyDescent="0.3">
      <c r="AK428" s="40"/>
    </row>
    <row r="429" spans="37:37" x14ac:dyDescent="0.3">
      <c r="AK429" s="40"/>
    </row>
    <row r="430" spans="37:37" x14ac:dyDescent="0.3">
      <c r="AK430" s="40"/>
    </row>
    <row r="431" spans="37:37" x14ac:dyDescent="0.3">
      <c r="AK431" s="40"/>
    </row>
    <row r="432" spans="37:37" x14ac:dyDescent="0.3">
      <c r="AK432" s="40"/>
    </row>
    <row r="433" spans="37:37" x14ac:dyDescent="0.3">
      <c r="AK433" s="40"/>
    </row>
    <row r="434" spans="37:37" x14ac:dyDescent="0.3">
      <c r="AK434" s="40"/>
    </row>
    <row r="435" spans="37:37" x14ac:dyDescent="0.3">
      <c r="AK435" s="40"/>
    </row>
    <row r="436" spans="37:37" x14ac:dyDescent="0.3">
      <c r="AK436" s="40"/>
    </row>
    <row r="437" spans="37:37" x14ac:dyDescent="0.3">
      <c r="AK437" s="40"/>
    </row>
    <row r="438" spans="37:37" x14ac:dyDescent="0.3">
      <c r="AK438" s="40"/>
    </row>
    <row r="439" spans="37:37" x14ac:dyDescent="0.3">
      <c r="AK439" s="40"/>
    </row>
    <row r="440" spans="37:37" x14ac:dyDescent="0.3">
      <c r="AK440" s="40"/>
    </row>
    <row r="441" spans="37:37" x14ac:dyDescent="0.3">
      <c r="AK441" s="40"/>
    </row>
    <row r="442" spans="37:37" x14ac:dyDescent="0.3">
      <c r="AK442" s="40"/>
    </row>
    <row r="443" spans="37:37" x14ac:dyDescent="0.3">
      <c r="AK443" s="40"/>
    </row>
    <row r="444" spans="37:37" x14ac:dyDescent="0.3">
      <c r="AK444" s="40"/>
    </row>
    <row r="445" spans="37:37" x14ac:dyDescent="0.3">
      <c r="AK445" s="40"/>
    </row>
    <row r="446" spans="37:37" x14ac:dyDescent="0.3">
      <c r="AK446" s="40"/>
    </row>
    <row r="447" spans="37:37" x14ac:dyDescent="0.3">
      <c r="AK447" s="40"/>
    </row>
    <row r="448" spans="37:37" x14ac:dyDescent="0.3">
      <c r="AK448" s="40"/>
    </row>
    <row r="449" spans="37:37" x14ac:dyDescent="0.3">
      <c r="AK449" s="40"/>
    </row>
    <row r="450" spans="37:37" x14ac:dyDescent="0.3">
      <c r="AK450" s="40"/>
    </row>
    <row r="451" spans="37:37" x14ac:dyDescent="0.3">
      <c r="AK451" s="40"/>
    </row>
    <row r="452" spans="37:37" x14ac:dyDescent="0.3">
      <c r="AK452" s="40"/>
    </row>
    <row r="453" spans="37:37" x14ac:dyDescent="0.3">
      <c r="AK453" s="40"/>
    </row>
    <row r="454" spans="37:37" x14ac:dyDescent="0.3">
      <c r="AK454" s="40"/>
    </row>
    <row r="455" spans="37:37" x14ac:dyDescent="0.3">
      <c r="AK455" s="40"/>
    </row>
    <row r="456" spans="37:37" x14ac:dyDescent="0.3">
      <c r="AK456" s="40"/>
    </row>
    <row r="457" spans="37:37" x14ac:dyDescent="0.3">
      <c r="AK457" s="40"/>
    </row>
    <row r="458" spans="37:37" x14ac:dyDescent="0.3">
      <c r="AK458" s="40"/>
    </row>
    <row r="459" spans="37:37" x14ac:dyDescent="0.3">
      <c r="AK459" s="40"/>
    </row>
    <row r="460" spans="37:37" x14ac:dyDescent="0.3">
      <c r="AK460" s="40"/>
    </row>
    <row r="461" spans="37:37" x14ac:dyDescent="0.3">
      <c r="AK461" s="40"/>
    </row>
    <row r="462" spans="37:37" x14ac:dyDescent="0.3">
      <c r="AK462" s="40"/>
    </row>
    <row r="463" spans="37:37" x14ac:dyDescent="0.3">
      <c r="AK463" s="40"/>
    </row>
    <row r="464" spans="37:37" x14ac:dyDescent="0.3">
      <c r="AK464" s="40"/>
    </row>
    <row r="465" spans="37:37" x14ac:dyDescent="0.3">
      <c r="AK465" s="40"/>
    </row>
    <row r="466" spans="37:37" x14ac:dyDescent="0.3">
      <c r="AK466" s="40"/>
    </row>
    <row r="467" spans="37:37" x14ac:dyDescent="0.3">
      <c r="AK467" s="40"/>
    </row>
    <row r="468" spans="37:37" x14ac:dyDescent="0.3">
      <c r="AK468" s="40"/>
    </row>
    <row r="469" spans="37:37" x14ac:dyDescent="0.3">
      <c r="AK469" s="40"/>
    </row>
    <row r="470" spans="37:37" x14ac:dyDescent="0.3">
      <c r="AK470" s="40"/>
    </row>
    <row r="471" spans="37:37" x14ac:dyDescent="0.3">
      <c r="AK471" s="40"/>
    </row>
    <row r="472" spans="37:37" x14ac:dyDescent="0.3">
      <c r="AK472" s="40"/>
    </row>
    <row r="473" spans="37:37" x14ac:dyDescent="0.3">
      <c r="AK473" s="40"/>
    </row>
    <row r="474" spans="37:37" x14ac:dyDescent="0.3">
      <c r="AK474" s="40"/>
    </row>
    <row r="475" spans="37:37" x14ac:dyDescent="0.3">
      <c r="AK475" s="40"/>
    </row>
    <row r="476" spans="37:37" x14ac:dyDescent="0.3">
      <c r="AK476" s="40"/>
    </row>
    <row r="477" spans="37:37" x14ac:dyDescent="0.3">
      <c r="AK477" s="40"/>
    </row>
    <row r="478" spans="37:37" x14ac:dyDescent="0.3">
      <c r="AK478" s="40"/>
    </row>
    <row r="479" spans="37:37" x14ac:dyDescent="0.3">
      <c r="AK479" s="40"/>
    </row>
    <row r="480" spans="37:37" x14ac:dyDescent="0.3">
      <c r="AK480" s="40"/>
    </row>
    <row r="481" spans="37:37" x14ac:dyDescent="0.3">
      <c r="AK481" s="40"/>
    </row>
    <row r="482" spans="37:37" x14ac:dyDescent="0.3">
      <c r="AK482" s="40"/>
    </row>
    <row r="483" spans="37:37" x14ac:dyDescent="0.3">
      <c r="AK483" s="40"/>
    </row>
    <row r="484" spans="37:37" x14ac:dyDescent="0.3">
      <c r="AK484" s="40"/>
    </row>
    <row r="485" spans="37:37" x14ac:dyDescent="0.3">
      <c r="AK485" s="40"/>
    </row>
    <row r="486" spans="37:37" x14ac:dyDescent="0.3">
      <c r="AK486" s="40"/>
    </row>
    <row r="487" spans="37:37" x14ac:dyDescent="0.3">
      <c r="AK487" s="40"/>
    </row>
    <row r="488" spans="37:37" x14ac:dyDescent="0.3">
      <c r="AK488" s="40"/>
    </row>
    <row r="489" spans="37:37" x14ac:dyDescent="0.3">
      <c r="AK489" s="40"/>
    </row>
    <row r="490" spans="37:37" x14ac:dyDescent="0.3">
      <c r="AK490" s="40"/>
    </row>
    <row r="491" spans="37:37" x14ac:dyDescent="0.3">
      <c r="AK491" s="40"/>
    </row>
    <row r="492" spans="37:37" x14ac:dyDescent="0.3">
      <c r="AK492" s="40"/>
    </row>
    <row r="493" spans="37:37" x14ac:dyDescent="0.3">
      <c r="AK493" s="40"/>
    </row>
    <row r="494" spans="37:37" x14ac:dyDescent="0.3">
      <c r="AK494" s="40"/>
    </row>
    <row r="495" spans="37:37" x14ac:dyDescent="0.3">
      <c r="AK495" s="40"/>
    </row>
    <row r="496" spans="37:37" x14ac:dyDescent="0.3">
      <c r="AK496" s="40"/>
    </row>
    <row r="497" spans="37:37" x14ac:dyDescent="0.3">
      <c r="AK497" s="40"/>
    </row>
    <row r="498" spans="37:37" x14ac:dyDescent="0.3">
      <c r="AK498" s="40"/>
    </row>
    <row r="499" spans="37:37" x14ac:dyDescent="0.3">
      <c r="AK499" s="40"/>
    </row>
    <row r="500" spans="37:37" x14ac:dyDescent="0.3">
      <c r="AK500" s="40"/>
    </row>
    <row r="501" spans="37:37" x14ac:dyDescent="0.3">
      <c r="AK501" s="40"/>
    </row>
    <row r="502" spans="37:37" x14ac:dyDescent="0.3">
      <c r="AK502" s="40"/>
    </row>
    <row r="503" spans="37:37" x14ac:dyDescent="0.3">
      <c r="AK503" s="40"/>
    </row>
    <row r="504" spans="37:37" x14ac:dyDescent="0.3">
      <c r="AK504" s="40"/>
    </row>
    <row r="505" spans="37:37" x14ac:dyDescent="0.3">
      <c r="AK505" s="40"/>
    </row>
    <row r="506" spans="37:37" x14ac:dyDescent="0.3">
      <c r="AK506" s="40"/>
    </row>
    <row r="507" spans="37:37" x14ac:dyDescent="0.3">
      <c r="AK507" s="40"/>
    </row>
    <row r="508" spans="37:37" x14ac:dyDescent="0.3">
      <c r="AK508" s="40"/>
    </row>
    <row r="509" spans="37:37" x14ac:dyDescent="0.3">
      <c r="AK509" s="40"/>
    </row>
    <row r="510" spans="37:37" x14ac:dyDescent="0.3">
      <c r="AK510" s="40"/>
    </row>
    <row r="511" spans="37:37" x14ac:dyDescent="0.3">
      <c r="AK511" s="40"/>
    </row>
    <row r="512" spans="37:37" x14ac:dyDescent="0.3">
      <c r="AK512" s="40"/>
    </row>
    <row r="513" spans="37:37" x14ac:dyDescent="0.3">
      <c r="AK513" s="40"/>
    </row>
    <row r="514" spans="37:37" x14ac:dyDescent="0.3">
      <c r="AK514" s="40"/>
    </row>
    <row r="515" spans="37:37" x14ac:dyDescent="0.3">
      <c r="AK515" s="40"/>
    </row>
    <row r="516" spans="37:37" x14ac:dyDescent="0.3">
      <c r="AK516" s="40"/>
    </row>
    <row r="517" spans="37:37" x14ac:dyDescent="0.3">
      <c r="AK517" s="40"/>
    </row>
    <row r="518" spans="37:37" x14ac:dyDescent="0.3">
      <c r="AK518" s="40"/>
    </row>
    <row r="519" spans="37:37" x14ac:dyDescent="0.3">
      <c r="AK519" s="40"/>
    </row>
    <row r="520" spans="37:37" x14ac:dyDescent="0.3">
      <c r="AK520" s="40"/>
    </row>
    <row r="521" spans="37:37" x14ac:dyDescent="0.3">
      <c r="AK521" s="40"/>
    </row>
    <row r="522" spans="37:37" x14ac:dyDescent="0.3">
      <c r="AK522" s="40"/>
    </row>
    <row r="523" spans="37:37" x14ac:dyDescent="0.3">
      <c r="AK523" s="40"/>
    </row>
    <row r="524" spans="37:37" x14ac:dyDescent="0.3">
      <c r="AK524" s="40"/>
    </row>
    <row r="525" spans="37:37" x14ac:dyDescent="0.3">
      <c r="AK525" s="40"/>
    </row>
    <row r="526" spans="37:37" x14ac:dyDescent="0.3">
      <c r="AK526" s="40"/>
    </row>
    <row r="527" spans="37:37" x14ac:dyDescent="0.3">
      <c r="AK527" s="40"/>
    </row>
    <row r="528" spans="37:37" x14ac:dyDescent="0.3">
      <c r="AK528" s="40"/>
    </row>
    <row r="529" spans="37:37" x14ac:dyDescent="0.3">
      <c r="AK529" s="40"/>
    </row>
    <row r="530" spans="37:37" x14ac:dyDescent="0.3">
      <c r="AK530" s="40"/>
    </row>
    <row r="531" spans="37:37" x14ac:dyDescent="0.3">
      <c r="AK531" s="40"/>
    </row>
    <row r="532" spans="37:37" x14ac:dyDescent="0.3">
      <c r="AK532" s="40"/>
    </row>
    <row r="533" spans="37:37" x14ac:dyDescent="0.3">
      <c r="AK533" s="40"/>
    </row>
    <row r="534" spans="37:37" x14ac:dyDescent="0.3">
      <c r="AK534" s="40"/>
    </row>
    <row r="535" spans="37:37" x14ac:dyDescent="0.3">
      <c r="AK535" s="40"/>
    </row>
    <row r="536" spans="37:37" x14ac:dyDescent="0.3">
      <c r="AK536" s="40"/>
    </row>
    <row r="537" spans="37:37" x14ac:dyDescent="0.3">
      <c r="AK537" s="40"/>
    </row>
    <row r="538" spans="37:37" x14ac:dyDescent="0.3">
      <c r="AK538" s="40"/>
    </row>
    <row r="539" spans="37:37" x14ac:dyDescent="0.3">
      <c r="AK539" s="40"/>
    </row>
    <row r="540" spans="37:37" x14ac:dyDescent="0.3">
      <c r="AK540" s="40"/>
    </row>
    <row r="541" spans="37:37" x14ac:dyDescent="0.3">
      <c r="AK541" s="40"/>
    </row>
    <row r="542" spans="37:37" x14ac:dyDescent="0.3">
      <c r="AK542" s="40"/>
    </row>
    <row r="543" spans="37:37" x14ac:dyDescent="0.3">
      <c r="AK543" s="40"/>
    </row>
    <row r="544" spans="37:37" x14ac:dyDescent="0.3">
      <c r="AK544" s="40"/>
    </row>
    <row r="545" spans="37:37" x14ac:dyDescent="0.3">
      <c r="AK545" s="40"/>
    </row>
    <row r="546" spans="37:37" x14ac:dyDescent="0.3">
      <c r="AK546" s="40"/>
    </row>
    <row r="547" spans="37:37" x14ac:dyDescent="0.3">
      <c r="AK547" s="40"/>
    </row>
    <row r="548" spans="37:37" x14ac:dyDescent="0.3">
      <c r="AK548" s="40"/>
    </row>
    <row r="549" spans="37:37" x14ac:dyDescent="0.3">
      <c r="AK549" s="40"/>
    </row>
    <row r="550" spans="37:37" x14ac:dyDescent="0.3">
      <c r="AK550" s="40"/>
    </row>
    <row r="551" spans="37:37" x14ac:dyDescent="0.3">
      <c r="AK551" s="40"/>
    </row>
    <row r="552" spans="37:37" x14ac:dyDescent="0.3">
      <c r="AK552" s="40"/>
    </row>
    <row r="553" spans="37:37" x14ac:dyDescent="0.3">
      <c r="AK553" s="40"/>
    </row>
    <row r="554" spans="37:37" x14ac:dyDescent="0.3">
      <c r="AK554" s="40"/>
    </row>
    <row r="555" spans="37:37" x14ac:dyDescent="0.3">
      <c r="AK555" s="40"/>
    </row>
    <row r="556" spans="37:37" x14ac:dyDescent="0.3">
      <c r="AK556" s="40"/>
    </row>
    <row r="557" spans="37:37" x14ac:dyDescent="0.3">
      <c r="AK557" s="40"/>
    </row>
    <row r="558" spans="37:37" x14ac:dyDescent="0.3">
      <c r="AK558" s="40"/>
    </row>
    <row r="559" spans="37:37" x14ac:dyDescent="0.3">
      <c r="AK559" s="40"/>
    </row>
    <row r="560" spans="37:37" x14ac:dyDescent="0.3">
      <c r="AK560" s="40"/>
    </row>
    <row r="561" spans="37:37" x14ac:dyDescent="0.3">
      <c r="AK561" s="40"/>
    </row>
    <row r="562" spans="37:37" x14ac:dyDescent="0.3">
      <c r="AK562" s="40"/>
    </row>
    <row r="563" spans="37:37" x14ac:dyDescent="0.3">
      <c r="AK563" s="40"/>
    </row>
    <row r="564" spans="37:37" x14ac:dyDescent="0.3">
      <c r="AK564" s="40"/>
    </row>
    <row r="565" spans="37:37" x14ac:dyDescent="0.3">
      <c r="AK565" s="40"/>
    </row>
    <row r="566" spans="37:37" x14ac:dyDescent="0.3">
      <c r="AK566" s="40"/>
    </row>
    <row r="567" spans="37:37" x14ac:dyDescent="0.3">
      <c r="AK567" s="40"/>
    </row>
    <row r="568" spans="37:37" x14ac:dyDescent="0.3">
      <c r="AK568" s="40"/>
    </row>
    <row r="569" spans="37:37" x14ac:dyDescent="0.3">
      <c r="AK569" s="40"/>
    </row>
    <row r="570" spans="37:37" x14ac:dyDescent="0.3">
      <c r="AK570" s="40"/>
    </row>
    <row r="571" spans="37:37" x14ac:dyDescent="0.3">
      <c r="AK571" s="40"/>
    </row>
    <row r="572" spans="37:37" x14ac:dyDescent="0.3">
      <c r="AK572" s="40"/>
    </row>
    <row r="573" spans="37:37" x14ac:dyDescent="0.3">
      <c r="AK573" s="40"/>
    </row>
    <row r="574" spans="37:37" x14ac:dyDescent="0.3">
      <c r="AK574" s="40"/>
    </row>
    <row r="575" spans="37:37" x14ac:dyDescent="0.3">
      <c r="AK575" s="40"/>
    </row>
    <row r="576" spans="37:37" x14ac:dyDescent="0.3">
      <c r="AK576" s="40"/>
    </row>
    <row r="577" spans="37:37" x14ac:dyDescent="0.3">
      <c r="AK577" s="40"/>
    </row>
    <row r="578" spans="37:37" x14ac:dyDescent="0.3">
      <c r="AK578" s="40"/>
    </row>
    <row r="579" spans="37:37" x14ac:dyDescent="0.3">
      <c r="AK579" s="40"/>
    </row>
    <row r="580" spans="37:37" x14ac:dyDescent="0.3">
      <c r="AK580" s="40"/>
    </row>
    <row r="581" spans="37:37" x14ac:dyDescent="0.3">
      <c r="AK581" s="40"/>
    </row>
    <row r="582" spans="37:37" x14ac:dyDescent="0.3">
      <c r="AK582" s="40"/>
    </row>
    <row r="583" spans="37:37" x14ac:dyDescent="0.3">
      <c r="AK583" s="40"/>
    </row>
    <row r="584" spans="37:37" x14ac:dyDescent="0.3">
      <c r="AK584" s="40"/>
    </row>
    <row r="585" spans="37:37" x14ac:dyDescent="0.3">
      <c r="AK585" s="40"/>
    </row>
    <row r="586" spans="37:37" x14ac:dyDescent="0.3">
      <c r="AK586" s="40"/>
    </row>
    <row r="587" spans="37:37" x14ac:dyDescent="0.3">
      <c r="AK587" s="40"/>
    </row>
    <row r="588" spans="37:37" x14ac:dyDescent="0.3">
      <c r="AK588" s="40"/>
    </row>
    <row r="589" spans="37:37" x14ac:dyDescent="0.3">
      <c r="AK589" s="40"/>
    </row>
    <row r="590" spans="37:37" x14ac:dyDescent="0.3">
      <c r="AK590" s="40"/>
    </row>
    <row r="591" spans="37:37" x14ac:dyDescent="0.3">
      <c r="AK591" s="40"/>
    </row>
    <row r="592" spans="37:37" x14ac:dyDescent="0.3">
      <c r="AK592" s="40"/>
    </row>
    <row r="593" spans="37:37" x14ac:dyDescent="0.3">
      <c r="AK593" s="40"/>
    </row>
    <row r="594" spans="37:37" x14ac:dyDescent="0.3">
      <c r="AK594" s="40"/>
    </row>
    <row r="595" spans="37:37" x14ac:dyDescent="0.3">
      <c r="AK595" s="40"/>
    </row>
    <row r="596" spans="37:37" x14ac:dyDescent="0.3">
      <c r="AK596" s="40"/>
    </row>
    <row r="597" spans="37:37" x14ac:dyDescent="0.3">
      <c r="AK597" s="40"/>
    </row>
    <row r="598" spans="37:37" x14ac:dyDescent="0.3">
      <c r="AK598" s="40"/>
    </row>
    <row r="599" spans="37:37" x14ac:dyDescent="0.3">
      <c r="AK599" s="40"/>
    </row>
    <row r="600" spans="37:37" x14ac:dyDescent="0.3">
      <c r="AK600" s="40"/>
    </row>
    <row r="601" spans="37:37" x14ac:dyDescent="0.3">
      <c r="AK601" s="40"/>
    </row>
    <row r="602" spans="37:37" x14ac:dyDescent="0.3">
      <c r="AK602" s="40"/>
    </row>
    <row r="603" spans="37:37" x14ac:dyDescent="0.3">
      <c r="AK603" s="40"/>
    </row>
    <row r="604" spans="37:37" x14ac:dyDescent="0.3">
      <c r="AK604" s="40"/>
    </row>
    <row r="605" spans="37:37" x14ac:dyDescent="0.3">
      <c r="AK605" s="40"/>
    </row>
    <row r="606" spans="37:37" x14ac:dyDescent="0.3">
      <c r="AK606" s="40"/>
    </row>
    <row r="607" spans="37:37" x14ac:dyDescent="0.3">
      <c r="AK607" s="40"/>
    </row>
    <row r="608" spans="37:37" x14ac:dyDescent="0.3">
      <c r="AK608" s="40"/>
    </row>
    <row r="609" spans="37:37" x14ac:dyDescent="0.3">
      <c r="AK609" s="40"/>
    </row>
    <row r="610" spans="37:37" x14ac:dyDescent="0.3">
      <c r="AK610" s="40"/>
    </row>
    <row r="611" spans="37:37" x14ac:dyDescent="0.3">
      <c r="AK611" s="40"/>
    </row>
    <row r="612" spans="37:37" x14ac:dyDescent="0.3">
      <c r="AK612" s="40"/>
    </row>
    <row r="613" spans="37:37" x14ac:dyDescent="0.3">
      <c r="AK613" s="40"/>
    </row>
    <row r="614" spans="37:37" x14ac:dyDescent="0.3">
      <c r="AK614" s="40"/>
    </row>
    <row r="615" spans="37:37" x14ac:dyDescent="0.3">
      <c r="AK615" s="40"/>
    </row>
    <row r="616" spans="37:37" x14ac:dyDescent="0.3">
      <c r="AK616" s="40"/>
    </row>
    <row r="617" spans="37:37" x14ac:dyDescent="0.3">
      <c r="AK617" s="40"/>
    </row>
    <row r="618" spans="37:37" x14ac:dyDescent="0.3">
      <c r="AK618" s="40"/>
    </row>
    <row r="619" spans="37:37" x14ac:dyDescent="0.3">
      <c r="AK619" s="40"/>
    </row>
    <row r="620" spans="37:37" x14ac:dyDescent="0.3">
      <c r="AK620" s="40"/>
    </row>
    <row r="621" spans="37:37" x14ac:dyDescent="0.3">
      <c r="AK621" s="40"/>
    </row>
    <row r="622" spans="37:37" x14ac:dyDescent="0.3">
      <c r="AK622" s="40"/>
    </row>
    <row r="623" spans="37:37" x14ac:dyDescent="0.3">
      <c r="AK623" s="40"/>
    </row>
    <row r="624" spans="37:37" x14ac:dyDescent="0.3">
      <c r="AK624" s="40"/>
    </row>
    <row r="625" spans="37:37" x14ac:dyDescent="0.3">
      <c r="AK625" s="40"/>
    </row>
    <row r="626" spans="37:37" x14ac:dyDescent="0.3">
      <c r="AK626" s="40"/>
    </row>
    <row r="627" spans="37:37" x14ac:dyDescent="0.3">
      <c r="AK627" s="40"/>
    </row>
    <row r="628" spans="37:37" x14ac:dyDescent="0.3">
      <c r="AK628" s="40"/>
    </row>
    <row r="629" spans="37:37" x14ac:dyDescent="0.3">
      <c r="AK629" s="40"/>
    </row>
    <row r="630" spans="37:37" x14ac:dyDescent="0.3">
      <c r="AK630" s="40"/>
    </row>
    <row r="631" spans="37:37" x14ac:dyDescent="0.3">
      <c r="AK631" s="40"/>
    </row>
    <row r="632" spans="37:37" x14ac:dyDescent="0.3">
      <c r="AK632" s="40"/>
    </row>
    <row r="633" spans="37:37" x14ac:dyDescent="0.3">
      <c r="AK633" s="40"/>
    </row>
    <row r="634" spans="37:37" x14ac:dyDescent="0.3">
      <c r="AK634" s="40"/>
    </row>
    <row r="635" spans="37:37" x14ac:dyDescent="0.3">
      <c r="AK635" s="40"/>
    </row>
    <row r="636" spans="37:37" x14ac:dyDescent="0.3">
      <c r="AK636" s="40"/>
    </row>
    <row r="637" spans="37:37" x14ac:dyDescent="0.3">
      <c r="AK637" s="40"/>
    </row>
    <row r="638" spans="37:37" x14ac:dyDescent="0.3">
      <c r="AK638" s="40"/>
    </row>
    <row r="639" spans="37:37" x14ac:dyDescent="0.3">
      <c r="AK639" s="40"/>
    </row>
    <row r="640" spans="37:37" x14ac:dyDescent="0.3">
      <c r="AK640" s="40"/>
    </row>
    <row r="641" spans="37:37" x14ac:dyDescent="0.3">
      <c r="AK641" s="40"/>
    </row>
    <row r="642" spans="37:37" x14ac:dyDescent="0.3">
      <c r="AK642" s="40"/>
    </row>
    <row r="643" spans="37:37" x14ac:dyDescent="0.3">
      <c r="AK643" s="40"/>
    </row>
    <row r="644" spans="37:37" x14ac:dyDescent="0.3">
      <c r="AK644" s="40"/>
    </row>
    <row r="645" spans="37:37" x14ac:dyDescent="0.3">
      <c r="AK645" s="40"/>
    </row>
    <row r="646" spans="37:37" x14ac:dyDescent="0.3">
      <c r="AK646" s="40"/>
    </row>
    <row r="647" spans="37:37" x14ac:dyDescent="0.3">
      <c r="AK647" s="40"/>
    </row>
    <row r="648" spans="37:37" x14ac:dyDescent="0.3">
      <c r="AK648" s="40"/>
    </row>
    <row r="649" spans="37:37" x14ac:dyDescent="0.3">
      <c r="AK649" s="40"/>
    </row>
    <row r="650" spans="37:37" x14ac:dyDescent="0.3">
      <c r="AK650" s="40"/>
    </row>
    <row r="651" spans="37:37" x14ac:dyDescent="0.3">
      <c r="AK651" s="40"/>
    </row>
    <row r="652" spans="37:37" x14ac:dyDescent="0.3">
      <c r="AK652" s="40"/>
    </row>
    <row r="653" spans="37:37" x14ac:dyDescent="0.3">
      <c r="AK653" s="40"/>
    </row>
    <row r="654" spans="37:37" x14ac:dyDescent="0.3">
      <c r="AK654" s="40"/>
    </row>
    <row r="655" spans="37:37" x14ac:dyDescent="0.3">
      <c r="AK655" s="40"/>
    </row>
    <row r="656" spans="37:37" x14ac:dyDescent="0.3">
      <c r="AK656" s="40"/>
    </row>
    <row r="657" spans="37:37" x14ac:dyDescent="0.3">
      <c r="AK657" s="40"/>
    </row>
    <row r="658" spans="37:37" x14ac:dyDescent="0.3">
      <c r="AK658" s="40"/>
    </row>
    <row r="659" spans="37:37" x14ac:dyDescent="0.3">
      <c r="AK659" s="40"/>
    </row>
    <row r="660" spans="37:37" x14ac:dyDescent="0.3">
      <c r="AK660" s="40"/>
    </row>
    <row r="661" spans="37:37" x14ac:dyDescent="0.3">
      <c r="AK661" s="40"/>
    </row>
    <row r="662" spans="37:37" x14ac:dyDescent="0.3">
      <c r="AK662" s="40"/>
    </row>
    <row r="663" spans="37:37" x14ac:dyDescent="0.3">
      <c r="AK663" s="40"/>
    </row>
    <row r="664" spans="37:37" x14ac:dyDescent="0.3">
      <c r="AK664" s="40"/>
    </row>
    <row r="665" spans="37:37" x14ac:dyDescent="0.3">
      <c r="AK665" s="40"/>
    </row>
    <row r="666" spans="37:37" x14ac:dyDescent="0.3">
      <c r="AK666" s="40"/>
    </row>
    <row r="667" spans="37:37" x14ac:dyDescent="0.3">
      <c r="AK667" s="40"/>
    </row>
    <row r="668" spans="37:37" x14ac:dyDescent="0.3">
      <c r="AK668" s="40"/>
    </row>
    <row r="669" spans="37:37" x14ac:dyDescent="0.3">
      <c r="AK669" s="40"/>
    </row>
    <row r="670" spans="37:37" x14ac:dyDescent="0.3">
      <c r="AK670" s="40"/>
    </row>
    <row r="671" spans="37:37" x14ac:dyDescent="0.3">
      <c r="AK671" s="40"/>
    </row>
    <row r="672" spans="37:37" x14ac:dyDescent="0.3">
      <c r="AK672" s="40"/>
    </row>
    <row r="673" spans="37:37" x14ac:dyDescent="0.3">
      <c r="AK673" s="40"/>
    </row>
    <row r="674" spans="37:37" x14ac:dyDescent="0.3">
      <c r="AK674" s="40"/>
    </row>
    <row r="675" spans="37:37" x14ac:dyDescent="0.3">
      <c r="AK675" s="40"/>
    </row>
    <row r="676" spans="37:37" x14ac:dyDescent="0.3">
      <c r="AK676" s="40"/>
    </row>
    <row r="677" spans="37:37" x14ac:dyDescent="0.3">
      <c r="AK677" s="40"/>
    </row>
    <row r="678" spans="37:37" x14ac:dyDescent="0.3">
      <c r="AK678" s="40"/>
    </row>
    <row r="679" spans="37:37" x14ac:dyDescent="0.3">
      <c r="AK679" s="40"/>
    </row>
    <row r="680" spans="37:37" x14ac:dyDescent="0.3">
      <c r="AK680" s="40"/>
    </row>
    <row r="681" spans="37:37" x14ac:dyDescent="0.3">
      <c r="AK681" s="40"/>
    </row>
    <row r="682" spans="37:37" x14ac:dyDescent="0.3">
      <c r="AK682" s="40"/>
    </row>
    <row r="683" spans="37:37" x14ac:dyDescent="0.3">
      <c r="AK683" s="40"/>
    </row>
    <row r="684" spans="37:37" x14ac:dyDescent="0.3">
      <c r="AK684" s="40"/>
    </row>
    <row r="685" spans="37:37" x14ac:dyDescent="0.3">
      <c r="AK685" s="40"/>
    </row>
    <row r="686" spans="37:37" x14ac:dyDescent="0.3">
      <c r="AK686" s="40"/>
    </row>
    <row r="687" spans="37:37" x14ac:dyDescent="0.3">
      <c r="AK687" s="40"/>
    </row>
    <row r="688" spans="37:37" x14ac:dyDescent="0.3">
      <c r="AK688" s="40"/>
    </row>
    <row r="689" spans="37:37" x14ac:dyDescent="0.3">
      <c r="AK689" s="40"/>
    </row>
    <row r="690" spans="37:37" x14ac:dyDescent="0.3">
      <c r="AK690" s="40"/>
    </row>
    <row r="691" spans="37:37" x14ac:dyDescent="0.3">
      <c r="AK691" s="40"/>
    </row>
    <row r="692" spans="37:37" x14ac:dyDescent="0.3">
      <c r="AK692" s="40"/>
    </row>
    <row r="693" spans="37:37" x14ac:dyDescent="0.3">
      <c r="AK693" s="40"/>
    </row>
    <row r="694" spans="37:37" x14ac:dyDescent="0.3">
      <c r="AK694" s="40"/>
    </row>
    <row r="695" spans="37:37" x14ac:dyDescent="0.3">
      <c r="AK695" s="40"/>
    </row>
    <row r="696" spans="37:37" x14ac:dyDescent="0.3">
      <c r="AK696" s="40"/>
    </row>
    <row r="697" spans="37:37" x14ac:dyDescent="0.3">
      <c r="AK697" s="40"/>
    </row>
    <row r="698" spans="37:37" x14ac:dyDescent="0.3">
      <c r="AK698" s="40"/>
    </row>
    <row r="699" spans="37:37" x14ac:dyDescent="0.3">
      <c r="AK699" s="40"/>
    </row>
    <row r="700" spans="37:37" x14ac:dyDescent="0.3">
      <c r="AK700" s="40"/>
    </row>
    <row r="701" spans="37:37" x14ac:dyDescent="0.3">
      <c r="AK701" s="40"/>
    </row>
    <row r="702" spans="37:37" x14ac:dyDescent="0.3">
      <c r="AK702" s="40"/>
    </row>
    <row r="703" spans="37:37" x14ac:dyDescent="0.3">
      <c r="AK703" s="40"/>
    </row>
    <row r="704" spans="37:37" x14ac:dyDescent="0.3">
      <c r="AK704" s="40"/>
    </row>
    <row r="705" spans="37:37" x14ac:dyDescent="0.3">
      <c r="AK705" s="40"/>
    </row>
    <row r="706" spans="37:37" x14ac:dyDescent="0.3">
      <c r="AK706" s="40"/>
    </row>
    <row r="707" spans="37:37" x14ac:dyDescent="0.3">
      <c r="AK707" s="40"/>
    </row>
    <row r="708" spans="37:37" x14ac:dyDescent="0.3">
      <c r="AK708" s="40"/>
    </row>
    <row r="709" spans="37:37" x14ac:dyDescent="0.3">
      <c r="AK709" s="40"/>
    </row>
    <row r="710" spans="37:37" x14ac:dyDescent="0.3">
      <c r="AK710" s="40"/>
    </row>
    <row r="711" spans="37:37" x14ac:dyDescent="0.3">
      <c r="AK711" s="40"/>
    </row>
    <row r="712" spans="37:37" x14ac:dyDescent="0.3">
      <c r="AK712" s="40"/>
    </row>
    <row r="713" spans="37:37" x14ac:dyDescent="0.3">
      <c r="AK713" s="40"/>
    </row>
    <row r="714" spans="37:37" x14ac:dyDescent="0.3">
      <c r="AK714" s="40"/>
    </row>
    <row r="715" spans="37:37" x14ac:dyDescent="0.3">
      <c r="AK715" s="40"/>
    </row>
    <row r="716" spans="37:37" x14ac:dyDescent="0.3">
      <c r="AK716" s="40"/>
    </row>
    <row r="717" spans="37:37" x14ac:dyDescent="0.3">
      <c r="AK717" s="40"/>
    </row>
    <row r="718" spans="37:37" x14ac:dyDescent="0.3">
      <c r="AK718" s="40"/>
    </row>
    <row r="719" spans="37:37" x14ac:dyDescent="0.3">
      <c r="AK719" s="40"/>
    </row>
    <row r="720" spans="37:37" x14ac:dyDescent="0.3">
      <c r="AK720" s="40"/>
    </row>
    <row r="721" spans="37:37" x14ac:dyDescent="0.3">
      <c r="AK721" s="40"/>
    </row>
    <row r="722" spans="37:37" x14ac:dyDescent="0.3">
      <c r="AK722" s="40"/>
    </row>
    <row r="723" spans="37:37" x14ac:dyDescent="0.3">
      <c r="AK723" s="40"/>
    </row>
    <row r="724" spans="37:37" x14ac:dyDescent="0.3">
      <c r="AK724" s="40"/>
    </row>
    <row r="725" spans="37:37" x14ac:dyDescent="0.3">
      <c r="AK725" s="40"/>
    </row>
  </sheetData>
  <autoFilter ref="A1:CE118" xr:uid="{357EBF0D-CEC7-49BC-A9EF-1082BE53EB22}"/>
  <conditionalFormatting sqref="A1:AU2 AV2:AV117 A3:AV3 A4:AU4 A5:AV5 A6:AU6 A7:AV7 A8:AU8 A9:AV9 A10:AU10 A11:AV11 A12:AU12 A13:AV13 A14:AU14 A15:AV15 A16:AU16 A17:AV17 A18:AU18 A19:AV19 A20:AU20 A21:AV21 A22:AU22 A23:AV23 A24:AU24 A25:AV25 A26:AU26 A27:AV27 A28:AU28 A29:AV29 A30:AU30 A31:AV31 A32:AU32 A33:AV33 A34:AU34 A35:AV35 A36:AU36 A37:AV37 A38:AU38 A39:AV39 A40:AU40 A41:AV41 A42:AU42 A43:AV43 A44:AU44 A45:AV45 A46:AU46 A47:AV47 A48:AU48 A49:AV49 A50:AU50 A51:AV51 A52:AU52 A53:AV53 A54:AU54 A55:AV55 A56:AU56 A57:AV57 A58:AU58 A59:AV59 A60:AU60 A61:AV61 A62:AU62 A63:AV63 A64:AU64 A65:AV65 A66:AU66 A67:AV67 A68:AU68 A69:AV69 A70:AU70 A71:AV71 A72:AU72 A73:AV73 A74:AU74 A75:AV75 A76:AU76 A77:AV77 A78:AU78 A79:AV79 A80:AU80 A81:AV81 A82:AU82 A83:AV83 A84:AU84 A85:AV85 A86:AU86 A87:AV87 A88:AU88 A89:AV89 A90:AU90 A91:AV91 A92:AU92 A93:AV93 A94:AU94 A95:AV95 A96:AU96 A97:AV97 A98:AU98 A99:AV99 A100:AU100 A101:AV101 A102:AU102 A103:AV103 A104:AU104 A105:AV105 A106:AU106 A107:AV107 A108:AU108 A109:AV109 A110:AU110 A111:AV111 A112:AU112 A113:AV113 A114:AU114 A115:AV115 A116:AU116 A117:AV118">
    <cfRule type="containsErrors" dxfId="1" priority="1">
      <formula>ISERROR(A1)</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F1C485-C246-44DD-820C-61BB4072FCC6}">
  <sheetPr codeName="Sheet16" filterMode="1">
    <tabColor rgb="FFFF0000"/>
  </sheetPr>
  <dimension ref="A1:CI145"/>
  <sheetViews>
    <sheetView zoomScaleNormal="100" workbookViewId="0">
      <pane xSplit="4" ySplit="4" topLeftCell="BH6" activePane="bottomRight" state="frozen"/>
      <selection pane="topRight" activeCell="E1" sqref="E1"/>
      <selection pane="bottomLeft" activeCell="A5" sqref="A5"/>
      <selection pane="bottomRight" activeCell="BL2" sqref="BL2"/>
    </sheetView>
  </sheetViews>
  <sheetFormatPr defaultColWidth="9.44140625" defaultRowHeight="14.4" x14ac:dyDescent="0.3"/>
  <cols>
    <col min="1" max="12" width="17.44140625" style="13" customWidth="1"/>
    <col min="13" max="13" width="11.44140625" style="13" bestFit="1" customWidth="1"/>
    <col min="14" max="83" width="17.44140625" style="13" customWidth="1"/>
    <col min="84" max="84" width="23.109375" style="13" customWidth="1"/>
    <col min="85" max="85" width="22.5546875" style="13" customWidth="1"/>
    <col min="86" max="87" width="19.44140625" style="13" customWidth="1"/>
    <col min="88" max="16384" width="9.44140625" style="13"/>
  </cols>
  <sheetData>
    <row r="1" spans="1:87" ht="58.35" customHeight="1" x14ac:dyDescent="0.3">
      <c r="A1" s="11" t="s">
        <v>46</v>
      </c>
      <c r="B1" s="11" t="s">
        <v>208</v>
      </c>
      <c r="C1" s="11" t="s">
        <v>209</v>
      </c>
      <c r="D1" s="11" t="s">
        <v>47</v>
      </c>
      <c r="E1" s="11" t="s">
        <v>210</v>
      </c>
      <c r="F1" s="11" t="s">
        <v>282</v>
      </c>
      <c r="G1" s="11" t="s">
        <v>212</v>
      </c>
      <c r="H1" s="11" t="s">
        <v>213</v>
      </c>
      <c r="I1" s="11" t="s">
        <v>214</v>
      </c>
      <c r="J1" s="11" t="s">
        <v>215</v>
      </c>
      <c r="K1" s="11" t="s">
        <v>216</v>
      </c>
      <c r="L1" s="11" t="s">
        <v>217</v>
      </c>
      <c r="M1" s="11" t="s">
        <v>218</v>
      </c>
      <c r="N1" s="12" t="s">
        <v>219</v>
      </c>
      <c r="O1" s="11" t="s">
        <v>220</v>
      </c>
      <c r="P1" s="11" t="s">
        <v>221</v>
      </c>
      <c r="Q1" s="11" t="s">
        <v>222</v>
      </c>
      <c r="R1" s="11" t="s">
        <v>223</v>
      </c>
      <c r="S1" s="11" t="s">
        <v>224</v>
      </c>
      <c r="T1" s="11" t="s">
        <v>225</v>
      </c>
      <c r="U1" s="11" t="s">
        <v>226</v>
      </c>
      <c r="V1" s="11" t="s">
        <v>227</v>
      </c>
      <c r="W1" s="11" t="s">
        <v>228</v>
      </c>
      <c r="X1" s="11" t="s">
        <v>229</v>
      </c>
      <c r="Y1" s="11" t="s">
        <v>230</v>
      </c>
      <c r="Z1" s="11" t="s">
        <v>231</v>
      </c>
      <c r="AA1" s="11" t="s">
        <v>232</v>
      </c>
      <c r="AB1" s="11" t="s">
        <v>233</v>
      </c>
      <c r="AC1" s="11" t="s">
        <v>234</v>
      </c>
      <c r="AD1" s="11" t="s">
        <v>235</v>
      </c>
      <c r="AE1" s="11" t="s">
        <v>236</v>
      </c>
      <c r="AF1" s="11" t="s">
        <v>237</v>
      </c>
      <c r="AG1" s="11" t="s">
        <v>238</v>
      </c>
      <c r="AH1" s="11" t="s">
        <v>239</v>
      </c>
      <c r="AI1" s="11" t="s">
        <v>240</v>
      </c>
      <c r="AJ1" s="11" t="s">
        <v>241</v>
      </c>
      <c r="AK1" s="11" t="s">
        <v>242</v>
      </c>
      <c r="AL1" s="11" t="s">
        <v>243</v>
      </c>
      <c r="AM1" s="11" t="s">
        <v>244</v>
      </c>
      <c r="AN1" s="11" t="s">
        <v>245</v>
      </c>
      <c r="AO1" s="11" t="s">
        <v>67</v>
      </c>
      <c r="AP1" s="11" t="s">
        <v>246</v>
      </c>
      <c r="AQ1" s="11" t="s">
        <v>247</v>
      </c>
      <c r="AR1" s="11" t="s">
        <v>248</v>
      </c>
      <c r="AS1" s="11" t="s">
        <v>249</v>
      </c>
      <c r="AT1" s="11" t="s">
        <v>250</v>
      </c>
      <c r="AU1" s="11" t="s">
        <v>251</v>
      </c>
      <c r="AV1" s="11" t="s">
        <v>252</v>
      </c>
      <c r="AW1" s="264" t="s">
        <v>53</v>
      </c>
      <c r="AX1" s="11" t="s">
        <v>253</v>
      </c>
      <c r="AY1" s="11" t="s">
        <v>254</v>
      </c>
      <c r="AZ1" s="11" t="s">
        <v>255</v>
      </c>
      <c r="BA1" s="11" t="s">
        <v>256</v>
      </c>
      <c r="BB1" s="11" t="s">
        <v>257</v>
      </c>
      <c r="BC1" s="264" t="s">
        <v>258</v>
      </c>
      <c r="BD1" s="11" t="s">
        <v>259</v>
      </c>
      <c r="BE1" s="11" t="s">
        <v>260</v>
      </c>
      <c r="BF1" s="11" t="s">
        <v>261</v>
      </c>
      <c r="BG1" s="11" t="s">
        <v>262</v>
      </c>
      <c r="BH1" s="11" t="s">
        <v>263</v>
      </c>
      <c r="BI1" s="11" t="s">
        <v>264</v>
      </c>
      <c r="BJ1" s="11" t="s">
        <v>265</v>
      </c>
      <c r="BK1" s="11" t="s">
        <v>266</v>
      </c>
      <c r="BL1" s="264" t="s">
        <v>267</v>
      </c>
      <c r="BM1" s="11" t="s">
        <v>268</v>
      </c>
      <c r="BN1" s="11" t="s">
        <v>269</v>
      </c>
      <c r="BO1" s="11" t="s">
        <v>270</v>
      </c>
      <c r="BP1" s="11" t="s">
        <v>271</v>
      </c>
      <c r="BQ1" s="11" t="s">
        <v>272</v>
      </c>
      <c r="BR1" s="11" t="s">
        <v>273</v>
      </c>
      <c r="BS1" s="11" t="s">
        <v>274</v>
      </c>
      <c r="BT1" s="11" t="s">
        <v>618</v>
      </c>
      <c r="BU1" s="11" t="s">
        <v>619</v>
      </c>
      <c r="BV1" s="11" t="s">
        <v>620</v>
      </c>
      <c r="BW1" s="11" t="s">
        <v>621</v>
      </c>
      <c r="BX1" s="11" t="s">
        <v>622</v>
      </c>
      <c r="BY1" s="11" t="s">
        <v>623</v>
      </c>
      <c r="BZ1" s="11" t="s">
        <v>624</v>
      </c>
      <c r="CA1" s="11" t="s">
        <v>625</v>
      </c>
      <c r="CB1" s="11" t="s">
        <v>626</v>
      </c>
      <c r="CC1" s="11" t="s">
        <v>627</v>
      </c>
      <c r="CD1" s="11" t="s">
        <v>628</v>
      </c>
      <c r="CE1" s="11" t="s">
        <v>629</v>
      </c>
      <c r="CF1" s="11" t="s">
        <v>695</v>
      </c>
      <c r="CG1" s="11" t="s">
        <v>696</v>
      </c>
      <c r="CH1" s="11" t="s">
        <v>697</v>
      </c>
      <c r="CI1" s="11" t="s">
        <v>698</v>
      </c>
    </row>
    <row r="2" spans="1:87" s="60" customFormat="1" ht="22.8" x14ac:dyDescent="0.3">
      <c r="A2" s="233">
        <v>1</v>
      </c>
      <c r="B2" s="233" t="s">
        <v>91</v>
      </c>
      <c r="C2" s="233" t="s">
        <v>77</v>
      </c>
      <c r="D2" s="233">
        <v>16665</v>
      </c>
      <c r="E2" s="233">
        <v>2025</v>
      </c>
      <c r="F2" s="233" t="s">
        <v>275</v>
      </c>
      <c r="G2" s="233">
        <v>5</v>
      </c>
      <c r="H2" s="233">
        <v>12</v>
      </c>
      <c r="I2" s="233" t="s">
        <v>715</v>
      </c>
      <c r="J2" s="234">
        <v>1363000</v>
      </c>
      <c r="K2" s="234">
        <v>17455000</v>
      </c>
      <c r="L2" s="234">
        <v>0</v>
      </c>
      <c r="M2" s="234">
        <v>14076000</v>
      </c>
      <c r="N2" s="234">
        <v>0</v>
      </c>
      <c r="O2" s="234">
        <v>0</v>
      </c>
      <c r="P2" s="234">
        <v>6943000</v>
      </c>
      <c r="Q2" s="242">
        <v>39837000</v>
      </c>
      <c r="R2" s="234">
        <v>17004000</v>
      </c>
      <c r="S2" s="234">
        <v>795000</v>
      </c>
      <c r="T2" s="234">
        <v>0</v>
      </c>
      <c r="U2" s="234">
        <v>0</v>
      </c>
      <c r="V2" s="234">
        <v>81228000</v>
      </c>
      <c r="W2" s="234">
        <v>37218000</v>
      </c>
      <c r="X2" s="242">
        <v>44010000</v>
      </c>
      <c r="Y2" s="234">
        <v>12716000</v>
      </c>
      <c r="Z2" s="242">
        <v>74525000</v>
      </c>
      <c r="AA2" s="242">
        <v>114362000</v>
      </c>
      <c r="AB2" s="234">
        <v>605000</v>
      </c>
      <c r="AC2" s="234">
        <v>4341000</v>
      </c>
      <c r="AD2" s="234">
        <v>68987000</v>
      </c>
      <c r="AE2" s="234">
        <v>15086000</v>
      </c>
      <c r="AF2" s="242">
        <v>89019000</v>
      </c>
      <c r="AG2" s="234">
        <v>15859000</v>
      </c>
      <c r="AH2" s="234">
        <v>0</v>
      </c>
      <c r="AI2" s="234">
        <v>15284000</v>
      </c>
      <c r="AJ2" s="242">
        <v>31143000</v>
      </c>
      <c r="AK2" s="242">
        <v>120162000</v>
      </c>
      <c r="AL2" s="234">
        <v>-24502000</v>
      </c>
      <c r="AM2" s="234">
        <v>12457000</v>
      </c>
      <c r="AN2" s="234">
        <v>6245000</v>
      </c>
      <c r="AO2" s="242">
        <v>-5800000</v>
      </c>
      <c r="AP2" s="242">
        <v>114362000</v>
      </c>
      <c r="AQ2" s="234">
        <v>126826000</v>
      </c>
      <c r="AR2" s="234">
        <v>0</v>
      </c>
      <c r="AS2" s="234">
        <v>14125000</v>
      </c>
      <c r="AT2" s="234">
        <v>0</v>
      </c>
      <c r="AU2" s="234">
        <v>0</v>
      </c>
      <c r="AV2" s="234">
        <v>0</v>
      </c>
      <c r="AW2" s="242">
        <v>140951000</v>
      </c>
      <c r="AX2" s="234">
        <v>100000</v>
      </c>
      <c r="AY2" s="234">
        <v>0</v>
      </c>
      <c r="AZ2" s="234">
        <v>872000</v>
      </c>
      <c r="BA2" s="234">
        <v>-35000</v>
      </c>
      <c r="BB2" s="234">
        <v>0</v>
      </c>
      <c r="BC2" s="242">
        <v>937000</v>
      </c>
      <c r="BD2" s="242">
        <v>141888000</v>
      </c>
      <c r="BE2" s="234">
        <v>76931000</v>
      </c>
      <c r="BF2" s="234">
        <v>0</v>
      </c>
      <c r="BG2" s="234">
        <v>6550000</v>
      </c>
      <c r="BH2" s="234">
        <v>471000</v>
      </c>
      <c r="BI2" s="234">
        <v>3043000</v>
      </c>
      <c r="BJ2" s="234">
        <v>70873000</v>
      </c>
      <c r="BK2" s="234">
        <v>0</v>
      </c>
      <c r="BL2" s="242">
        <v>157868000</v>
      </c>
      <c r="BM2" s="242">
        <v>-15980000</v>
      </c>
      <c r="BN2" s="234">
        <v>447000</v>
      </c>
      <c r="BO2" s="234">
        <v>85000</v>
      </c>
      <c r="BP2" s="234">
        <v>-15448000</v>
      </c>
      <c r="BQ2" s="234">
        <v>5805000</v>
      </c>
      <c r="BR2" s="234">
        <v>0</v>
      </c>
      <c r="BS2" s="242">
        <v>-9643000</v>
      </c>
      <c r="BT2" s="243">
        <v>-0.11899999999999999</v>
      </c>
      <c r="BU2" s="243">
        <v>7.0000000000000001E-3</v>
      </c>
      <c r="BV2" s="243">
        <v>-0.113</v>
      </c>
      <c r="BW2" s="244">
        <v>0.4</v>
      </c>
      <c r="BX2" s="245">
        <v>41</v>
      </c>
      <c r="BY2" s="245">
        <v>204</v>
      </c>
      <c r="BZ2" s="246">
        <f t="shared" ref="BZ2:BZ33" si="0">(BH2+BM2+BG2-AZ2)/(BG2+AB2)</f>
        <v>-1.3740041928721174</v>
      </c>
      <c r="CA2" s="247">
        <v>-9.8000000000000004E-2</v>
      </c>
      <c r="CB2" s="247">
        <v>-5.0999999999999997E-2</v>
      </c>
      <c r="CC2" s="248">
        <v>6</v>
      </c>
      <c r="CD2" s="249">
        <v>45</v>
      </c>
      <c r="CE2" s="247">
        <f t="shared" ref="CE2:CE33" si="1">AG2/(AG2+AL2)</f>
        <v>-1.8348952909869258</v>
      </c>
      <c r="CF2" s="242">
        <v>-15980000</v>
      </c>
      <c r="CG2" s="243">
        <v>-0.11899999999999999</v>
      </c>
      <c r="CH2" s="243">
        <v>7.0000000000000001E-3</v>
      </c>
      <c r="CI2" s="243">
        <v>-0.113</v>
      </c>
    </row>
    <row r="3" spans="1:87" s="60" customFormat="1" ht="22.8" x14ac:dyDescent="0.3">
      <c r="A3" s="233">
        <v>2</v>
      </c>
      <c r="B3" s="233" t="s">
        <v>135</v>
      </c>
      <c r="C3" s="233" t="s">
        <v>77</v>
      </c>
      <c r="D3" s="233">
        <v>12807</v>
      </c>
      <c r="E3" s="233">
        <v>2025</v>
      </c>
      <c r="F3" s="233" t="s">
        <v>275</v>
      </c>
      <c r="G3" s="233">
        <v>5</v>
      </c>
      <c r="H3" s="233">
        <v>12</v>
      </c>
      <c r="I3" s="233" t="s">
        <v>715</v>
      </c>
      <c r="J3" s="234">
        <v>6513466</v>
      </c>
      <c r="K3" s="234">
        <v>0</v>
      </c>
      <c r="L3" s="234">
        <v>0</v>
      </c>
      <c r="M3" s="234">
        <v>4624988</v>
      </c>
      <c r="N3" s="234">
        <v>0</v>
      </c>
      <c r="O3" s="234">
        <v>0</v>
      </c>
      <c r="P3" s="234">
        <v>705592</v>
      </c>
      <c r="Q3" s="242">
        <v>11844046</v>
      </c>
      <c r="R3" s="234">
        <v>1881594</v>
      </c>
      <c r="S3" s="234">
        <v>0</v>
      </c>
      <c r="T3" s="234">
        <v>0</v>
      </c>
      <c r="U3" s="234">
        <v>0</v>
      </c>
      <c r="V3" s="234">
        <v>19825694</v>
      </c>
      <c r="W3" s="234">
        <v>15697139</v>
      </c>
      <c r="X3" s="242">
        <v>4128555</v>
      </c>
      <c r="Y3" s="234">
        <v>16665000</v>
      </c>
      <c r="Z3" s="242">
        <v>22675149</v>
      </c>
      <c r="AA3" s="242">
        <v>34519195</v>
      </c>
      <c r="AB3" s="234">
        <v>0</v>
      </c>
      <c r="AC3" s="234">
        <v>0</v>
      </c>
      <c r="AD3" s="234">
        <v>0</v>
      </c>
      <c r="AE3" s="234">
        <v>7882751</v>
      </c>
      <c r="AF3" s="242">
        <v>7882751</v>
      </c>
      <c r="AG3" s="234">
        <v>0</v>
      </c>
      <c r="AH3" s="234">
        <v>0</v>
      </c>
      <c r="AI3" s="234">
        <v>5000</v>
      </c>
      <c r="AJ3" s="242">
        <v>5000</v>
      </c>
      <c r="AK3" s="242">
        <v>7887751</v>
      </c>
      <c r="AL3" s="234">
        <v>24719451</v>
      </c>
      <c r="AM3" s="234">
        <v>0</v>
      </c>
      <c r="AN3" s="234">
        <v>1911993</v>
      </c>
      <c r="AO3" s="242">
        <v>26631444</v>
      </c>
      <c r="AP3" s="242">
        <v>34519195</v>
      </c>
      <c r="AQ3" s="234">
        <v>42721771</v>
      </c>
      <c r="AR3" s="234">
        <v>0</v>
      </c>
      <c r="AS3" s="234">
        <v>9052511</v>
      </c>
      <c r="AT3" s="234">
        <v>0</v>
      </c>
      <c r="AU3" s="234">
        <v>0</v>
      </c>
      <c r="AV3" s="234">
        <v>0</v>
      </c>
      <c r="AW3" s="242">
        <v>51774282</v>
      </c>
      <c r="AX3" s="234">
        <v>2396</v>
      </c>
      <c r="AY3" s="234">
        <v>9000</v>
      </c>
      <c r="AZ3" s="234">
        <v>0</v>
      </c>
      <c r="BA3" s="234">
        <v>0</v>
      </c>
      <c r="BB3" s="234">
        <v>0</v>
      </c>
      <c r="BC3" s="242">
        <v>11396</v>
      </c>
      <c r="BD3" s="242">
        <v>51785678</v>
      </c>
      <c r="BE3" s="234">
        <v>15927036</v>
      </c>
      <c r="BF3" s="234">
        <v>0</v>
      </c>
      <c r="BG3" s="234">
        <v>667194</v>
      </c>
      <c r="BH3" s="234">
        <v>128</v>
      </c>
      <c r="BI3" s="234">
        <v>307220</v>
      </c>
      <c r="BJ3" s="234">
        <v>25702594</v>
      </c>
      <c r="BK3" s="234">
        <v>0</v>
      </c>
      <c r="BL3" s="242">
        <v>42604172</v>
      </c>
      <c r="BM3" s="242">
        <v>9181506</v>
      </c>
      <c r="BN3" s="234">
        <v>-22412252</v>
      </c>
      <c r="BO3" s="234">
        <v>0</v>
      </c>
      <c r="BP3" s="234">
        <v>-13230746</v>
      </c>
      <c r="BQ3" s="234">
        <v>0</v>
      </c>
      <c r="BR3" s="234">
        <v>0</v>
      </c>
      <c r="BS3" s="242">
        <v>-13230746</v>
      </c>
      <c r="BT3" s="243">
        <v>0.17699999999999999</v>
      </c>
      <c r="BU3" s="243">
        <v>0</v>
      </c>
      <c r="BV3" s="243">
        <v>0.17699999999999999</v>
      </c>
      <c r="BW3" s="244">
        <v>1.5</v>
      </c>
      <c r="BX3" s="245">
        <v>40</v>
      </c>
      <c r="BY3" s="245">
        <v>69</v>
      </c>
      <c r="BZ3" s="246">
        <f t="shared" si="0"/>
        <v>14.761565601609128</v>
      </c>
      <c r="CA3" s="247">
        <v>1.2490000000000001</v>
      </c>
      <c r="CB3" s="247">
        <v>0.77100000000000002</v>
      </c>
      <c r="CC3" s="248">
        <v>24</v>
      </c>
      <c r="CD3" s="249">
        <v>57</v>
      </c>
      <c r="CE3" s="247">
        <f t="shared" si="1"/>
        <v>0</v>
      </c>
      <c r="CF3" s="242">
        <v>9181506</v>
      </c>
      <c r="CG3" s="243">
        <v>0.17699999999999999</v>
      </c>
      <c r="CH3" s="243">
        <v>0</v>
      </c>
      <c r="CI3" s="243">
        <v>0.17699999999999999</v>
      </c>
    </row>
    <row r="4" spans="1:87" s="60" customFormat="1" ht="22.8" x14ac:dyDescent="0.3">
      <c r="A4" s="238">
        <v>5</v>
      </c>
      <c r="B4" s="238" t="s">
        <v>76</v>
      </c>
      <c r="C4" s="238" t="s">
        <v>77</v>
      </c>
      <c r="D4" s="238">
        <v>4066</v>
      </c>
      <c r="E4" s="238">
        <v>2025</v>
      </c>
      <c r="F4" s="238" t="s">
        <v>275</v>
      </c>
      <c r="G4" s="238">
        <v>5</v>
      </c>
      <c r="H4" s="238">
        <v>12</v>
      </c>
      <c r="I4" s="238" t="s">
        <v>715</v>
      </c>
      <c r="J4" s="239">
        <v>15397000</v>
      </c>
      <c r="K4" s="239">
        <v>506000</v>
      </c>
      <c r="L4" s="239">
        <v>0</v>
      </c>
      <c r="M4" s="239">
        <v>12266000</v>
      </c>
      <c r="N4" s="239">
        <v>202000</v>
      </c>
      <c r="O4" s="239">
        <v>1299000</v>
      </c>
      <c r="P4" s="239">
        <v>3295000</v>
      </c>
      <c r="Q4" s="242">
        <v>32965000</v>
      </c>
      <c r="R4" s="239">
        <v>7003000</v>
      </c>
      <c r="S4" s="239">
        <v>0</v>
      </c>
      <c r="T4" s="239">
        <v>14594000</v>
      </c>
      <c r="U4" s="239">
        <v>341000</v>
      </c>
      <c r="V4" s="239">
        <v>172785000</v>
      </c>
      <c r="W4" s="239">
        <v>128651000</v>
      </c>
      <c r="X4" s="242">
        <v>44134000</v>
      </c>
      <c r="Y4" s="239">
        <v>4000</v>
      </c>
      <c r="Z4" s="242">
        <v>66076000</v>
      </c>
      <c r="AA4" s="242">
        <v>99041000</v>
      </c>
      <c r="AB4" s="239">
        <v>814000</v>
      </c>
      <c r="AC4" s="239">
        <v>1663000</v>
      </c>
      <c r="AD4" s="239">
        <v>1843000</v>
      </c>
      <c r="AE4" s="239">
        <v>11872000</v>
      </c>
      <c r="AF4" s="242">
        <v>16192000</v>
      </c>
      <c r="AG4" s="239">
        <v>15828000</v>
      </c>
      <c r="AH4" s="239">
        <v>0</v>
      </c>
      <c r="AI4" s="239">
        <v>231000</v>
      </c>
      <c r="AJ4" s="242">
        <v>16059000</v>
      </c>
      <c r="AK4" s="242">
        <v>32251000</v>
      </c>
      <c r="AL4" s="239">
        <v>45785000</v>
      </c>
      <c r="AM4" s="239">
        <v>10259000</v>
      </c>
      <c r="AN4" s="239">
        <v>10746000</v>
      </c>
      <c r="AO4" s="242">
        <v>66790000</v>
      </c>
      <c r="AP4" s="242">
        <v>99041000</v>
      </c>
      <c r="AQ4" s="239">
        <v>137293000</v>
      </c>
      <c r="AR4" s="239">
        <v>0</v>
      </c>
      <c r="AS4" s="239">
        <v>18807000</v>
      </c>
      <c r="AT4" s="239">
        <v>0</v>
      </c>
      <c r="AU4" s="239">
        <v>0</v>
      </c>
      <c r="AV4" s="239">
        <v>281000</v>
      </c>
      <c r="AW4" s="242">
        <v>156381000</v>
      </c>
      <c r="AX4" s="239">
        <v>14000</v>
      </c>
      <c r="AY4" s="239">
        <v>0</v>
      </c>
      <c r="AZ4" s="239">
        <v>82000</v>
      </c>
      <c r="BA4" s="239">
        <v>236000</v>
      </c>
      <c r="BB4" s="239">
        <v>0</v>
      </c>
      <c r="BC4" s="242">
        <v>332000</v>
      </c>
      <c r="BD4" s="242">
        <v>156713000</v>
      </c>
      <c r="BE4" s="239">
        <v>53912000</v>
      </c>
      <c r="BF4" s="239">
        <v>0</v>
      </c>
      <c r="BG4" s="239">
        <v>4614000</v>
      </c>
      <c r="BH4" s="239">
        <v>701000</v>
      </c>
      <c r="BI4" s="239">
        <v>9824000</v>
      </c>
      <c r="BJ4" s="239">
        <v>79463000</v>
      </c>
      <c r="BK4" s="239">
        <v>145000</v>
      </c>
      <c r="BL4" s="242">
        <v>148659000</v>
      </c>
      <c r="BM4" s="242">
        <v>8054000</v>
      </c>
      <c r="BN4" s="239">
        <v>0</v>
      </c>
      <c r="BO4" s="239">
        <v>47000</v>
      </c>
      <c r="BP4" s="239">
        <v>8101000</v>
      </c>
      <c r="BQ4" s="239">
        <v>0</v>
      </c>
      <c r="BR4" s="239">
        <v>0</v>
      </c>
      <c r="BS4" s="242">
        <v>8101000</v>
      </c>
      <c r="BT4" s="243">
        <v>4.9000000000000002E-2</v>
      </c>
      <c r="BU4" s="243">
        <v>2E-3</v>
      </c>
      <c r="BV4" s="243">
        <v>5.0999999999999997E-2</v>
      </c>
      <c r="BW4" s="244">
        <v>2</v>
      </c>
      <c r="BX4" s="245">
        <v>33</v>
      </c>
      <c r="BY4" s="245">
        <v>37</v>
      </c>
      <c r="BZ4" s="246">
        <f t="shared" si="0"/>
        <v>2.4478629329403097</v>
      </c>
      <c r="CA4" s="247">
        <v>0.39600000000000002</v>
      </c>
      <c r="CB4" s="247">
        <v>0.67400000000000004</v>
      </c>
      <c r="CC4" s="248">
        <v>28</v>
      </c>
      <c r="CD4" s="249">
        <v>40</v>
      </c>
      <c r="CE4" s="247">
        <f t="shared" si="1"/>
        <v>0.25689383733952248</v>
      </c>
      <c r="CF4" s="242">
        <v>8054000</v>
      </c>
      <c r="CG4" s="243">
        <v>4.9000000000000002E-2</v>
      </c>
      <c r="CH4" s="243">
        <v>2E-3</v>
      </c>
      <c r="CI4" s="243">
        <v>5.0999999999999997E-2</v>
      </c>
    </row>
    <row r="5" spans="1:87" s="60" customFormat="1" ht="22.8" hidden="1" x14ac:dyDescent="0.3">
      <c r="A5" s="233">
        <v>4066</v>
      </c>
      <c r="B5" s="233" t="s">
        <v>73</v>
      </c>
      <c r="C5" s="233" t="s">
        <v>75</v>
      </c>
      <c r="D5" s="233">
        <v>4066</v>
      </c>
      <c r="E5" s="233">
        <v>2025</v>
      </c>
      <c r="F5" s="233" t="s">
        <v>275</v>
      </c>
      <c r="G5" s="233">
        <v>5</v>
      </c>
      <c r="H5" s="233">
        <v>12</v>
      </c>
      <c r="I5" s="233" t="s">
        <v>715</v>
      </c>
      <c r="J5" s="234">
        <v>267482000</v>
      </c>
      <c r="K5" s="234">
        <v>279545000</v>
      </c>
      <c r="L5" s="234">
        <v>0</v>
      </c>
      <c r="M5" s="234">
        <v>243134000</v>
      </c>
      <c r="N5" s="234">
        <v>0</v>
      </c>
      <c r="O5" s="234">
        <v>47352000</v>
      </c>
      <c r="P5" s="234">
        <v>205846000</v>
      </c>
      <c r="Q5" s="242">
        <v>1043359000</v>
      </c>
      <c r="R5" s="234">
        <v>709510000</v>
      </c>
      <c r="S5" s="234">
        <v>0</v>
      </c>
      <c r="T5" s="234">
        <v>0</v>
      </c>
      <c r="U5" s="234">
        <v>21479000</v>
      </c>
      <c r="V5" s="234">
        <v>2289375000</v>
      </c>
      <c r="W5" s="234">
        <v>1521675000</v>
      </c>
      <c r="X5" s="242">
        <v>767700000</v>
      </c>
      <c r="Y5" s="234">
        <v>170074000</v>
      </c>
      <c r="Z5" s="242">
        <v>1668763000</v>
      </c>
      <c r="AA5" s="242">
        <v>2712122000</v>
      </c>
      <c r="AB5" s="234">
        <v>41225000</v>
      </c>
      <c r="AC5" s="234">
        <v>34157000</v>
      </c>
      <c r="AD5" s="234">
        <v>0</v>
      </c>
      <c r="AE5" s="234">
        <v>522942000</v>
      </c>
      <c r="AF5" s="242">
        <v>598324000</v>
      </c>
      <c r="AG5" s="234">
        <v>510019000</v>
      </c>
      <c r="AH5" s="234">
        <v>0</v>
      </c>
      <c r="AI5" s="234">
        <v>307546000</v>
      </c>
      <c r="AJ5" s="242">
        <v>817565000</v>
      </c>
      <c r="AK5" s="242">
        <v>1415889000</v>
      </c>
      <c r="AL5" s="234">
        <v>1133435000</v>
      </c>
      <c r="AM5" s="234">
        <v>0</v>
      </c>
      <c r="AN5" s="234">
        <v>162798000</v>
      </c>
      <c r="AO5" s="242">
        <v>1296233000</v>
      </c>
      <c r="AP5" s="242">
        <v>2712122000</v>
      </c>
      <c r="AQ5" s="234">
        <v>2195558000</v>
      </c>
      <c r="AR5" s="234">
        <v>0</v>
      </c>
      <c r="AS5" s="234">
        <v>1324990000</v>
      </c>
      <c r="AT5" s="234">
        <v>0</v>
      </c>
      <c r="AU5" s="234">
        <v>0</v>
      </c>
      <c r="AV5" s="234">
        <v>3324000</v>
      </c>
      <c r="AW5" s="242">
        <v>3523872000</v>
      </c>
      <c r="AX5" s="234">
        <v>13654000</v>
      </c>
      <c r="AY5" s="234">
        <v>0</v>
      </c>
      <c r="AZ5" s="234">
        <v>59839000</v>
      </c>
      <c r="BA5" s="234">
        <v>-3143000</v>
      </c>
      <c r="BB5" s="234">
        <v>-11620000</v>
      </c>
      <c r="BC5" s="242">
        <v>58730000</v>
      </c>
      <c r="BD5" s="242">
        <v>3582602000</v>
      </c>
      <c r="BE5" s="234">
        <v>1394595000</v>
      </c>
      <c r="BF5" s="234">
        <v>0</v>
      </c>
      <c r="BG5" s="234">
        <v>81736000</v>
      </c>
      <c r="BH5" s="234">
        <v>19353000</v>
      </c>
      <c r="BI5" s="234">
        <v>172888000</v>
      </c>
      <c r="BJ5" s="234">
        <v>1823441000</v>
      </c>
      <c r="BK5" s="234">
        <v>15058000</v>
      </c>
      <c r="BL5" s="242">
        <v>3507071000</v>
      </c>
      <c r="BM5" s="242">
        <v>75531000</v>
      </c>
      <c r="BN5" s="234">
        <v>0</v>
      </c>
      <c r="BO5" s="234">
        <v>2974000</v>
      </c>
      <c r="BP5" s="234">
        <v>78505000</v>
      </c>
      <c r="BQ5" s="234">
        <v>0</v>
      </c>
      <c r="BR5" s="234">
        <v>0</v>
      </c>
      <c r="BS5" s="242">
        <v>78505000</v>
      </c>
      <c r="BT5" s="243">
        <v>5.0000000000000001E-3</v>
      </c>
      <c r="BU5" s="243">
        <v>1.6E-2</v>
      </c>
      <c r="BV5" s="243">
        <v>2.1000000000000001E-2</v>
      </c>
      <c r="BW5" s="244">
        <v>1.7</v>
      </c>
      <c r="BX5" s="245">
        <v>40</v>
      </c>
      <c r="BY5" s="245">
        <v>60</v>
      </c>
      <c r="BZ5" s="246">
        <f t="shared" si="0"/>
        <v>0.94974016151462659</v>
      </c>
      <c r="CA5" s="247">
        <v>0.14199999999999999</v>
      </c>
      <c r="CB5" s="247">
        <v>0.47799999999999998</v>
      </c>
      <c r="CC5" s="248">
        <v>19</v>
      </c>
      <c r="CD5" s="249">
        <v>58</v>
      </c>
      <c r="CE5" s="247">
        <f t="shared" si="1"/>
        <v>0.31033360227910245</v>
      </c>
      <c r="CF5" s="242">
        <v>75531000</v>
      </c>
      <c r="CG5" s="243">
        <v>5.0000000000000001E-3</v>
      </c>
      <c r="CH5" s="243">
        <v>1.6E-2</v>
      </c>
      <c r="CI5" s="243">
        <v>2.1000000000000001E-2</v>
      </c>
    </row>
    <row r="6" spans="1:87" s="60" customFormat="1" ht="22.8" x14ac:dyDescent="0.3">
      <c r="A6" s="233">
        <v>4</v>
      </c>
      <c r="B6" s="233" t="s">
        <v>79</v>
      </c>
      <c r="C6" s="233" t="s">
        <v>77</v>
      </c>
      <c r="D6" s="233">
        <v>4066</v>
      </c>
      <c r="E6" s="233">
        <v>2025</v>
      </c>
      <c r="F6" s="233" t="s">
        <v>275</v>
      </c>
      <c r="G6" s="233">
        <v>5</v>
      </c>
      <c r="H6" s="233">
        <v>12</v>
      </c>
      <c r="I6" s="233" t="s">
        <v>715</v>
      </c>
      <c r="J6" s="234">
        <v>128505000</v>
      </c>
      <c r="K6" s="234">
        <v>98618000</v>
      </c>
      <c r="L6" s="234">
        <v>0</v>
      </c>
      <c r="M6" s="234">
        <v>200776000</v>
      </c>
      <c r="N6" s="234">
        <v>94291000</v>
      </c>
      <c r="O6" s="234">
        <v>40922000</v>
      </c>
      <c r="P6" s="234">
        <v>57305000</v>
      </c>
      <c r="Q6" s="242">
        <v>620417000</v>
      </c>
      <c r="R6" s="234">
        <v>401055000</v>
      </c>
      <c r="S6" s="234">
        <v>0</v>
      </c>
      <c r="T6" s="234">
        <v>17071000</v>
      </c>
      <c r="U6" s="234">
        <v>18770000</v>
      </c>
      <c r="V6" s="234">
        <v>1801351000</v>
      </c>
      <c r="W6" s="234">
        <v>1168308000</v>
      </c>
      <c r="X6" s="242">
        <v>633043000</v>
      </c>
      <c r="Y6" s="234">
        <v>30856000</v>
      </c>
      <c r="Z6" s="242">
        <v>1100795000</v>
      </c>
      <c r="AA6" s="242">
        <v>1721212000</v>
      </c>
      <c r="AB6" s="234">
        <v>34793000</v>
      </c>
      <c r="AC6" s="234">
        <v>27748000</v>
      </c>
      <c r="AD6" s="234">
        <v>67000</v>
      </c>
      <c r="AE6" s="234">
        <v>148278000</v>
      </c>
      <c r="AF6" s="242">
        <v>210886000</v>
      </c>
      <c r="AG6" s="234">
        <v>447161000</v>
      </c>
      <c r="AH6" s="234">
        <v>0</v>
      </c>
      <c r="AI6" s="234">
        <v>42267000</v>
      </c>
      <c r="AJ6" s="242">
        <v>489428000</v>
      </c>
      <c r="AK6" s="242">
        <v>700314000</v>
      </c>
      <c r="AL6" s="234">
        <v>1000755000</v>
      </c>
      <c r="AM6" s="234">
        <v>14257000</v>
      </c>
      <c r="AN6" s="234">
        <v>5886000</v>
      </c>
      <c r="AO6" s="242">
        <v>1020898000</v>
      </c>
      <c r="AP6" s="242">
        <v>1721212000</v>
      </c>
      <c r="AQ6" s="234">
        <v>1906015000</v>
      </c>
      <c r="AR6" s="234">
        <v>0</v>
      </c>
      <c r="AS6" s="234">
        <v>132119000</v>
      </c>
      <c r="AT6" s="234">
        <v>0</v>
      </c>
      <c r="AU6" s="234">
        <v>0</v>
      </c>
      <c r="AV6" s="234">
        <v>1257000</v>
      </c>
      <c r="AW6" s="242">
        <v>2039391000</v>
      </c>
      <c r="AX6" s="234">
        <v>12943000</v>
      </c>
      <c r="AY6" s="234">
        <v>0</v>
      </c>
      <c r="AZ6" s="234">
        <v>38426000</v>
      </c>
      <c r="BA6" s="234">
        <v>-4555000</v>
      </c>
      <c r="BB6" s="234">
        <v>0</v>
      </c>
      <c r="BC6" s="242">
        <v>46814000</v>
      </c>
      <c r="BD6" s="242">
        <v>2086205000</v>
      </c>
      <c r="BE6" s="234">
        <v>666555000</v>
      </c>
      <c r="BF6" s="234">
        <v>0</v>
      </c>
      <c r="BG6" s="234">
        <v>65085000</v>
      </c>
      <c r="BH6" s="234">
        <v>15680000</v>
      </c>
      <c r="BI6" s="234">
        <v>149900000</v>
      </c>
      <c r="BJ6" s="234">
        <v>1028488000</v>
      </c>
      <c r="BK6" s="234">
        <v>9446000</v>
      </c>
      <c r="BL6" s="242">
        <v>1935154000</v>
      </c>
      <c r="BM6" s="242">
        <v>151051000</v>
      </c>
      <c r="BN6" s="234">
        <v>-74845000</v>
      </c>
      <c r="BO6" s="234">
        <v>2802000</v>
      </c>
      <c r="BP6" s="234">
        <v>79008000</v>
      </c>
      <c r="BQ6" s="234">
        <v>0</v>
      </c>
      <c r="BR6" s="234">
        <v>0</v>
      </c>
      <c r="BS6" s="242">
        <v>79008000</v>
      </c>
      <c r="BT6" s="243">
        <v>0.05</v>
      </c>
      <c r="BU6" s="243">
        <v>2.1999999999999999E-2</v>
      </c>
      <c r="BV6" s="243">
        <v>7.1999999999999995E-2</v>
      </c>
      <c r="BW6" s="244">
        <v>2.9</v>
      </c>
      <c r="BX6" s="245">
        <v>38</v>
      </c>
      <c r="BY6" s="245">
        <v>36</v>
      </c>
      <c r="BZ6" s="246">
        <f t="shared" si="0"/>
        <v>1.9362622399327178</v>
      </c>
      <c r="CA6" s="247">
        <v>0.32800000000000001</v>
      </c>
      <c r="CB6" s="247">
        <v>0.59299999999999997</v>
      </c>
      <c r="CC6" s="248">
        <v>18</v>
      </c>
      <c r="CD6" s="249">
        <v>44</v>
      </c>
      <c r="CE6" s="247">
        <f t="shared" si="1"/>
        <v>0.30883076090049422</v>
      </c>
      <c r="CF6" s="242">
        <v>151051000</v>
      </c>
      <c r="CG6" s="243">
        <v>0.05</v>
      </c>
      <c r="CH6" s="243">
        <v>2.1999999999999999E-2</v>
      </c>
      <c r="CI6" s="243">
        <v>7.1999999999999995E-2</v>
      </c>
    </row>
    <row r="7" spans="1:87" s="60" customFormat="1" ht="22.8" hidden="1" x14ac:dyDescent="0.3">
      <c r="A7" s="238">
        <v>11490</v>
      </c>
      <c r="B7" s="238" t="s">
        <v>82</v>
      </c>
      <c r="C7" s="238" t="s">
        <v>83</v>
      </c>
      <c r="D7" s="238">
        <v>4066</v>
      </c>
      <c r="E7" s="238">
        <v>2025</v>
      </c>
      <c r="F7" s="238" t="s">
        <v>275</v>
      </c>
      <c r="G7" s="238">
        <v>5</v>
      </c>
      <c r="H7" s="238">
        <v>12</v>
      </c>
      <c r="I7" s="238" t="s">
        <v>715</v>
      </c>
      <c r="J7" s="239">
        <v>0</v>
      </c>
      <c r="K7" s="239">
        <v>0</v>
      </c>
      <c r="L7" s="239">
        <v>0</v>
      </c>
      <c r="M7" s="239">
        <v>0</v>
      </c>
      <c r="N7" s="239">
        <v>0</v>
      </c>
      <c r="O7" s="239">
        <v>0</v>
      </c>
      <c r="P7" s="239">
        <v>0</v>
      </c>
      <c r="Q7" s="242">
        <v>0</v>
      </c>
      <c r="R7" s="239">
        <v>0</v>
      </c>
      <c r="S7" s="239">
        <v>0</v>
      </c>
      <c r="T7" s="239">
        <v>0</v>
      </c>
      <c r="U7" s="239">
        <v>0</v>
      </c>
      <c r="V7" s="239">
        <v>0</v>
      </c>
      <c r="W7" s="239">
        <v>0</v>
      </c>
      <c r="X7" s="242">
        <v>0</v>
      </c>
      <c r="Y7" s="239">
        <v>0</v>
      </c>
      <c r="Z7" s="242">
        <v>0</v>
      </c>
      <c r="AA7" s="242">
        <v>0</v>
      </c>
      <c r="AB7" s="239">
        <v>0</v>
      </c>
      <c r="AC7" s="239">
        <v>0</v>
      </c>
      <c r="AD7" s="239">
        <v>0</v>
      </c>
      <c r="AE7" s="239">
        <v>0</v>
      </c>
      <c r="AF7" s="242">
        <v>0</v>
      </c>
      <c r="AG7" s="239">
        <v>0</v>
      </c>
      <c r="AH7" s="239">
        <v>0</v>
      </c>
      <c r="AI7" s="239">
        <v>0</v>
      </c>
      <c r="AJ7" s="242">
        <v>0</v>
      </c>
      <c r="AK7" s="242">
        <v>0</v>
      </c>
      <c r="AL7" s="239">
        <v>0</v>
      </c>
      <c r="AM7" s="239">
        <v>0</v>
      </c>
      <c r="AN7" s="239">
        <v>0</v>
      </c>
      <c r="AO7" s="242">
        <v>0</v>
      </c>
      <c r="AP7" s="242">
        <v>0</v>
      </c>
      <c r="AQ7" s="239">
        <v>250048000</v>
      </c>
      <c r="AR7" s="239">
        <v>0</v>
      </c>
      <c r="AS7" s="239">
        <v>258267000</v>
      </c>
      <c r="AT7" s="239">
        <v>0</v>
      </c>
      <c r="AU7" s="239">
        <v>0</v>
      </c>
      <c r="AV7" s="239">
        <v>789000</v>
      </c>
      <c r="AW7" s="242">
        <v>509104000</v>
      </c>
      <c r="AX7" s="239">
        <v>0</v>
      </c>
      <c r="AY7" s="239">
        <v>0</v>
      </c>
      <c r="AZ7" s="239">
        <v>0</v>
      </c>
      <c r="BA7" s="239">
        <v>410000</v>
      </c>
      <c r="BB7" s="239">
        <v>0</v>
      </c>
      <c r="BC7" s="242">
        <v>410000</v>
      </c>
      <c r="BD7" s="242">
        <v>509514000</v>
      </c>
      <c r="BE7" s="239">
        <v>432907000</v>
      </c>
      <c r="BF7" s="239">
        <v>0</v>
      </c>
      <c r="BG7" s="239">
        <v>1430000</v>
      </c>
      <c r="BH7" s="239">
        <v>0</v>
      </c>
      <c r="BI7" s="239">
        <v>0</v>
      </c>
      <c r="BJ7" s="239">
        <v>163430000</v>
      </c>
      <c r="BK7" s="239">
        <v>624000</v>
      </c>
      <c r="BL7" s="242">
        <v>598391000</v>
      </c>
      <c r="BM7" s="242">
        <v>-88877000</v>
      </c>
      <c r="BN7" s="239">
        <v>75000000</v>
      </c>
      <c r="BO7" s="239">
        <v>61000</v>
      </c>
      <c r="BP7" s="239">
        <v>-13816000</v>
      </c>
      <c r="BQ7" s="239">
        <v>0</v>
      </c>
      <c r="BR7" s="239">
        <v>0</v>
      </c>
      <c r="BS7" s="242">
        <v>-13816000</v>
      </c>
      <c r="BT7" s="243">
        <v>-0.17499999999999999</v>
      </c>
      <c r="BU7" s="243">
        <v>1E-3</v>
      </c>
      <c r="BV7" s="243">
        <v>-0.17399999999999999</v>
      </c>
      <c r="BW7" s="244">
        <v>0</v>
      </c>
      <c r="BX7" s="245">
        <v>0</v>
      </c>
      <c r="BY7" s="245">
        <v>0</v>
      </c>
      <c r="BZ7" s="246">
        <f t="shared" si="0"/>
        <v>-61.151748251748252</v>
      </c>
      <c r="CA7" s="247">
        <v>0</v>
      </c>
      <c r="CB7" s="247">
        <v>0</v>
      </c>
      <c r="CC7" s="248">
        <v>0</v>
      </c>
      <c r="CD7" s="249">
        <v>0</v>
      </c>
      <c r="CE7" s="247" t="e">
        <f t="shared" si="1"/>
        <v>#DIV/0!</v>
      </c>
      <c r="CF7" s="242">
        <v>-88877000</v>
      </c>
      <c r="CG7" s="243">
        <v>-0.17499999999999999</v>
      </c>
      <c r="CH7" s="243">
        <v>1E-3</v>
      </c>
      <c r="CI7" s="243">
        <v>-0.17399999999999999</v>
      </c>
    </row>
    <row r="8" spans="1:87" s="60" customFormat="1" ht="22.8" x14ac:dyDescent="0.3">
      <c r="A8" s="233">
        <v>106</v>
      </c>
      <c r="B8" s="233" t="s">
        <v>80</v>
      </c>
      <c r="C8" s="233" t="s">
        <v>77</v>
      </c>
      <c r="D8" s="233">
        <v>4066</v>
      </c>
      <c r="E8" s="233">
        <v>2025</v>
      </c>
      <c r="F8" s="233" t="s">
        <v>275</v>
      </c>
      <c r="G8" s="233">
        <v>5</v>
      </c>
      <c r="H8" s="233">
        <v>12</v>
      </c>
      <c r="I8" s="233" t="s">
        <v>715</v>
      </c>
      <c r="J8" s="234">
        <v>2602000</v>
      </c>
      <c r="K8" s="234">
        <v>10000</v>
      </c>
      <c r="L8" s="234">
        <v>0</v>
      </c>
      <c r="M8" s="234">
        <v>10935000</v>
      </c>
      <c r="N8" s="234">
        <v>22000</v>
      </c>
      <c r="O8" s="234">
        <v>2507000</v>
      </c>
      <c r="P8" s="234">
        <v>1459000</v>
      </c>
      <c r="Q8" s="242">
        <v>17535000</v>
      </c>
      <c r="R8" s="234">
        <v>1793000</v>
      </c>
      <c r="S8" s="234">
        <v>0</v>
      </c>
      <c r="T8" s="234">
        <v>1210000</v>
      </c>
      <c r="U8" s="234">
        <v>0</v>
      </c>
      <c r="V8" s="234">
        <v>107752000</v>
      </c>
      <c r="W8" s="234">
        <v>82229000</v>
      </c>
      <c r="X8" s="242">
        <v>25523000</v>
      </c>
      <c r="Y8" s="234">
        <v>1481000</v>
      </c>
      <c r="Z8" s="242">
        <v>30007000</v>
      </c>
      <c r="AA8" s="242">
        <v>47542000</v>
      </c>
      <c r="AB8" s="234">
        <v>354000</v>
      </c>
      <c r="AC8" s="234">
        <v>3378000</v>
      </c>
      <c r="AD8" s="234">
        <v>2424000</v>
      </c>
      <c r="AE8" s="234">
        <v>7761000</v>
      </c>
      <c r="AF8" s="242">
        <v>13917000</v>
      </c>
      <c r="AG8" s="234">
        <v>0</v>
      </c>
      <c r="AH8" s="234">
        <v>0</v>
      </c>
      <c r="AI8" s="234">
        <v>3181000</v>
      </c>
      <c r="AJ8" s="242">
        <v>3181000</v>
      </c>
      <c r="AK8" s="242">
        <v>17098000</v>
      </c>
      <c r="AL8" s="234">
        <v>27774000</v>
      </c>
      <c r="AM8" s="234">
        <v>602000</v>
      </c>
      <c r="AN8" s="234">
        <v>2068000</v>
      </c>
      <c r="AO8" s="242">
        <v>30444000</v>
      </c>
      <c r="AP8" s="242">
        <v>47542000</v>
      </c>
      <c r="AQ8" s="234">
        <v>89201000</v>
      </c>
      <c r="AR8" s="234">
        <v>0</v>
      </c>
      <c r="AS8" s="234">
        <v>2144000</v>
      </c>
      <c r="AT8" s="234">
        <v>0</v>
      </c>
      <c r="AU8" s="234">
        <v>0</v>
      </c>
      <c r="AV8" s="234">
        <v>134000</v>
      </c>
      <c r="AW8" s="242">
        <v>91479000</v>
      </c>
      <c r="AX8" s="234">
        <v>0</v>
      </c>
      <c r="AY8" s="234">
        <v>0</v>
      </c>
      <c r="AZ8" s="234">
        <v>38000</v>
      </c>
      <c r="BA8" s="234">
        <v>6000</v>
      </c>
      <c r="BB8" s="234">
        <v>0</v>
      </c>
      <c r="BC8" s="242">
        <v>44000</v>
      </c>
      <c r="BD8" s="242">
        <v>91523000</v>
      </c>
      <c r="BE8" s="234">
        <v>38097000</v>
      </c>
      <c r="BF8" s="234">
        <v>0</v>
      </c>
      <c r="BG8" s="234">
        <v>4157000</v>
      </c>
      <c r="BH8" s="234">
        <v>46000</v>
      </c>
      <c r="BI8" s="234">
        <v>5342000</v>
      </c>
      <c r="BJ8" s="234">
        <v>39206000</v>
      </c>
      <c r="BK8" s="234">
        <v>353000</v>
      </c>
      <c r="BL8" s="242">
        <v>87201000</v>
      </c>
      <c r="BM8" s="242">
        <v>4322000</v>
      </c>
      <c r="BN8" s="234">
        <v>0</v>
      </c>
      <c r="BO8" s="234">
        <v>34000</v>
      </c>
      <c r="BP8" s="234">
        <v>4356000</v>
      </c>
      <c r="BQ8" s="234">
        <v>0</v>
      </c>
      <c r="BR8" s="234">
        <v>0</v>
      </c>
      <c r="BS8" s="242">
        <v>4356000</v>
      </c>
      <c r="BT8" s="243">
        <v>4.7E-2</v>
      </c>
      <c r="BU8" s="243">
        <v>0</v>
      </c>
      <c r="BV8" s="243">
        <v>4.7E-2</v>
      </c>
      <c r="BW8" s="244">
        <v>1.3</v>
      </c>
      <c r="BX8" s="245">
        <v>45</v>
      </c>
      <c r="BY8" s="245">
        <v>46</v>
      </c>
      <c r="BZ8" s="246">
        <f t="shared" si="0"/>
        <v>1.8814010197295501</v>
      </c>
      <c r="CA8" s="247">
        <v>0.60899999999999999</v>
      </c>
      <c r="CB8" s="247">
        <v>0.64</v>
      </c>
      <c r="CC8" s="248">
        <v>20</v>
      </c>
      <c r="CD8" s="249">
        <v>11</v>
      </c>
      <c r="CE8" s="247">
        <f t="shared" si="1"/>
        <v>0</v>
      </c>
      <c r="CF8" s="242">
        <v>4322000</v>
      </c>
      <c r="CG8" s="243">
        <v>4.7E-2</v>
      </c>
      <c r="CH8" s="243">
        <v>0</v>
      </c>
      <c r="CI8" s="243">
        <v>4.7E-2</v>
      </c>
    </row>
    <row r="9" spans="1:87" s="60" customFormat="1" ht="22.8" hidden="1" x14ac:dyDescent="0.3">
      <c r="A9" s="233">
        <v>14417</v>
      </c>
      <c r="B9" s="233" t="s">
        <v>278</v>
      </c>
      <c r="C9" s="233" t="s">
        <v>83</v>
      </c>
      <c r="D9" s="233">
        <v>4066</v>
      </c>
      <c r="E9" s="233">
        <v>2025</v>
      </c>
      <c r="F9" s="233" t="s">
        <v>275</v>
      </c>
      <c r="G9" s="233">
        <v>5</v>
      </c>
      <c r="H9" s="233">
        <v>12</v>
      </c>
      <c r="I9" s="233" t="s">
        <v>715</v>
      </c>
      <c r="J9" s="234">
        <v>0</v>
      </c>
      <c r="K9" s="234">
        <v>0</v>
      </c>
      <c r="L9" s="234">
        <v>0</v>
      </c>
      <c r="M9" s="234">
        <v>0</v>
      </c>
      <c r="N9" s="234">
        <v>0</v>
      </c>
      <c r="O9" s="234">
        <v>0</v>
      </c>
      <c r="P9" s="234">
        <v>0</v>
      </c>
      <c r="Q9" s="242">
        <v>0</v>
      </c>
      <c r="R9" s="234">
        <v>0</v>
      </c>
      <c r="S9" s="234">
        <v>0</v>
      </c>
      <c r="T9" s="234">
        <v>0</v>
      </c>
      <c r="U9" s="234">
        <v>0</v>
      </c>
      <c r="V9" s="234">
        <v>0</v>
      </c>
      <c r="W9" s="234">
        <v>0</v>
      </c>
      <c r="X9" s="242">
        <v>0</v>
      </c>
      <c r="Y9" s="234">
        <v>0</v>
      </c>
      <c r="Z9" s="242">
        <v>0</v>
      </c>
      <c r="AA9" s="242">
        <v>0</v>
      </c>
      <c r="AB9" s="234">
        <v>0</v>
      </c>
      <c r="AC9" s="234">
        <v>0</v>
      </c>
      <c r="AD9" s="234">
        <v>0</v>
      </c>
      <c r="AE9" s="234">
        <v>0</v>
      </c>
      <c r="AF9" s="242">
        <v>0</v>
      </c>
      <c r="AG9" s="234">
        <v>0</v>
      </c>
      <c r="AH9" s="234">
        <v>0</v>
      </c>
      <c r="AI9" s="234">
        <v>0</v>
      </c>
      <c r="AJ9" s="242">
        <v>0</v>
      </c>
      <c r="AK9" s="242">
        <v>0</v>
      </c>
      <c r="AL9" s="234">
        <v>0</v>
      </c>
      <c r="AM9" s="234">
        <v>0</v>
      </c>
      <c r="AN9" s="234">
        <v>0</v>
      </c>
      <c r="AO9" s="242">
        <v>0</v>
      </c>
      <c r="AP9" s="242">
        <v>0</v>
      </c>
      <c r="AQ9" s="234">
        <v>0</v>
      </c>
      <c r="AR9" s="234">
        <v>0</v>
      </c>
      <c r="AS9" s="234">
        <v>0</v>
      </c>
      <c r="AT9" s="234">
        <v>0</v>
      </c>
      <c r="AU9" s="234">
        <v>0</v>
      </c>
      <c r="AV9" s="234">
        <v>0</v>
      </c>
      <c r="AW9" s="242">
        <v>0</v>
      </c>
      <c r="AX9" s="234">
        <v>0</v>
      </c>
      <c r="AY9" s="234">
        <v>0</v>
      </c>
      <c r="AZ9" s="234">
        <v>0</v>
      </c>
      <c r="BA9" s="234">
        <v>0</v>
      </c>
      <c r="BB9" s="234">
        <v>0</v>
      </c>
      <c r="BC9" s="242">
        <v>0</v>
      </c>
      <c r="BD9" s="242">
        <v>0</v>
      </c>
      <c r="BE9" s="234">
        <v>0</v>
      </c>
      <c r="BF9" s="234">
        <v>0</v>
      </c>
      <c r="BG9" s="234">
        <v>0</v>
      </c>
      <c r="BH9" s="234">
        <v>0</v>
      </c>
      <c r="BI9" s="234">
        <v>0</v>
      </c>
      <c r="BJ9" s="234">
        <v>0</v>
      </c>
      <c r="BK9" s="234">
        <v>0</v>
      </c>
      <c r="BL9" s="242">
        <v>0</v>
      </c>
      <c r="BM9" s="242">
        <v>0</v>
      </c>
      <c r="BN9" s="234">
        <v>0</v>
      </c>
      <c r="BO9" s="234">
        <v>0</v>
      </c>
      <c r="BP9" s="234">
        <v>0</v>
      </c>
      <c r="BQ9" s="234">
        <v>0</v>
      </c>
      <c r="BR9" s="234">
        <v>0</v>
      </c>
      <c r="BS9" s="242">
        <v>0</v>
      </c>
      <c r="BT9" s="243">
        <v>0</v>
      </c>
      <c r="BU9" s="243">
        <v>0</v>
      </c>
      <c r="BV9" s="243">
        <v>0</v>
      </c>
      <c r="BW9" s="244">
        <v>0</v>
      </c>
      <c r="BX9" s="245">
        <v>0</v>
      </c>
      <c r="BY9" s="245">
        <v>0</v>
      </c>
      <c r="BZ9" s="246" t="e">
        <f t="shared" si="0"/>
        <v>#DIV/0!</v>
      </c>
      <c r="CA9" s="247">
        <v>0</v>
      </c>
      <c r="CB9" s="247">
        <v>0</v>
      </c>
      <c r="CC9" s="248">
        <v>0</v>
      </c>
      <c r="CD9" s="249">
        <v>0</v>
      </c>
      <c r="CE9" s="247" t="e">
        <f t="shared" si="1"/>
        <v>#DIV/0!</v>
      </c>
      <c r="CF9" s="242">
        <v>0</v>
      </c>
      <c r="CG9" s="243">
        <v>0</v>
      </c>
      <c r="CH9" s="243">
        <v>0</v>
      </c>
      <c r="CI9" s="243">
        <v>0</v>
      </c>
    </row>
    <row r="10" spans="1:87" s="60" customFormat="1" ht="22.8" x14ac:dyDescent="0.3">
      <c r="A10" s="238">
        <v>14495</v>
      </c>
      <c r="B10" s="238" t="s">
        <v>81</v>
      </c>
      <c r="C10" s="238" t="s">
        <v>77</v>
      </c>
      <c r="D10" s="238">
        <v>4066</v>
      </c>
      <c r="E10" s="238">
        <v>2025</v>
      </c>
      <c r="F10" s="238" t="s">
        <v>275</v>
      </c>
      <c r="G10" s="238">
        <v>5</v>
      </c>
      <c r="H10" s="238">
        <v>12</v>
      </c>
      <c r="I10" s="238" t="s">
        <v>715</v>
      </c>
      <c r="J10" s="239">
        <v>7760000</v>
      </c>
      <c r="K10" s="239">
        <v>4305000</v>
      </c>
      <c r="L10" s="239">
        <v>0</v>
      </c>
      <c r="M10" s="239">
        <v>9172000</v>
      </c>
      <c r="N10" s="239">
        <v>21000</v>
      </c>
      <c r="O10" s="239">
        <v>2624000</v>
      </c>
      <c r="P10" s="239">
        <v>1708000</v>
      </c>
      <c r="Q10" s="242">
        <v>25590000</v>
      </c>
      <c r="R10" s="239">
        <v>2943000</v>
      </c>
      <c r="S10" s="239">
        <v>0</v>
      </c>
      <c r="T10" s="239">
        <v>1997000</v>
      </c>
      <c r="U10" s="239">
        <v>0</v>
      </c>
      <c r="V10" s="239">
        <v>126233000</v>
      </c>
      <c r="W10" s="239">
        <v>75446000</v>
      </c>
      <c r="X10" s="242">
        <v>50787000</v>
      </c>
      <c r="Y10" s="239">
        <v>76000</v>
      </c>
      <c r="Z10" s="242">
        <v>55803000</v>
      </c>
      <c r="AA10" s="242">
        <v>81393000</v>
      </c>
      <c r="AB10" s="239">
        <v>1187000</v>
      </c>
      <c r="AC10" s="239">
        <v>1270000</v>
      </c>
      <c r="AD10" s="239">
        <v>24007000</v>
      </c>
      <c r="AE10" s="239">
        <v>11215000</v>
      </c>
      <c r="AF10" s="242">
        <v>37679000</v>
      </c>
      <c r="AG10" s="239">
        <v>19600000</v>
      </c>
      <c r="AH10" s="239">
        <v>0</v>
      </c>
      <c r="AI10" s="239">
        <v>797000</v>
      </c>
      <c r="AJ10" s="242">
        <v>20397000</v>
      </c>
      <c r="AK10" s="242">
        <v>58076000</v>
      </c>
      <c r="AL10" s="239">
        <v>19447000</v>
      </c>
      <c r="AM10" s="239">
        <v>2239000</v>
      </c>
      <c r="AN10" s="239">
        <v>1631000</v>
      </c>
      <c r="AO10" s="242">
        <v>23317000</v>
      </c>
      <c r="AP10" s="242">
        <v>81393000</v>
      </c>
      <c r="AQ10" s="239">
        <v>104291000</v>
      </c>
      <c r="AR10" s="239">
        <v>0</v>
      </c>
      <c r="AS10" s="239">
        <v>3606000</v>
      </c>
      <c r="AT10" s="239">
        <v>0</v>
      </c>
      <c r="AU10" s="239">
        <v>0</v>
      </c>
      <c r="AV10" s="239">
        <v>31000</v>
      </c>
      <c r="AW10" s="242">
        <v>107928000</v>
      </c>
      <c r="AX10" s="239">
        <v>112000</v>
      </c>
      <c r="AY10" s="239">
        <v>0</v>
      </c>
      <c r="AZ10" s="239">
        <v>448000</v>
      </c>
      <c r="BA10" s="239">
        <v>17000</v>
      </c>
      <c r="BB10" s="239">
        <v>0</v>
      </c>
      <c r="BC10" s="242">
        <v>577000</v>
      </c>
      <c r="BD10" s="242">
        <v>108505000</v>
      </c>
      <c r="BE10" s="239">
        <v>46640000</v>
      </c>
      <c r="BF10" s="239">
        <v>0</v>
      </c>
      <c r="BG10" s="239">
        <v>4303000</v>
      </c>
      <c r="BH10" s="239">
        <v>1167000</v>
      </c>
      <c r="BI10" s="239">
        <v>7822000</v>
      </c>
      <c r="BJ10" s="239">
        <v>43428000</v>
      </c>
      <c r="BK10" s="239">
        <v>263000</v>
      </c>
      <c r="BL10" s="242">
        <v>103623000</v>
      </c>
      <c r="BM10" s="242">
        <v>4882000</v>
      </c>
      <c r="BN10" s="239">
        <v>0</v>
      </c>
      <c r="BO10" s="239">
        <v>30000</v>
      </c>
      <c r="BP10" s="239">
        <v>4912000</v>
      </c>
      <c r="BQ10" s="239">
        <v>0</v>
      </c>
      <c r="BR10" s="239">
        <v>0</v>
      </c>
      <c r="BS10" s="242">
        <v>4912000</v>
      </c>
      <c r="BT10" s="243">
        <v>0.04</v>
      </c>
      <c r="BU10" s="243">
        <v>5.0000000000000001E-3</v>
      </c>
      <c r="BV10" s="243">
        <v>4.4999999999999998E-2</v>
      </c>
      <c r="BW10" s="244">
        <v>0.7</v>
      </c>
      <c r="BX10" s="245">
        <v>32</v>
      </c>
      <c r="BY10" s="245">
        <v>134</v>
      </c>
      <c r="BZ10" s="246">
        <f t="shared" si="0"/>
        <v>1.8040072859744991</v>
      </c>
      <c r="CA10" s="247">
        <v>0.16</v>
      </c>
      <c r="CB10" s="247">
        <v>0.28599999999999998</v>
      </c>
      <c r="CC10" s="248">
        <v>18</v>
      </c>
      <c r="CD10" s="249">
        <v>44</v>
      </c>
      <c r="CE10" s="247">
        <f t="shared" si="1"/>
        <v>0.5019591774015929</v>
      </c>
      <c r="CF10" s="242">
        <v>4882000</v>
      </c>
      <c r="CG10" s="243">
        <v>0.04</v>
      </c>
      <c r="CH10" s="243">
        <v>5.0000000000000001E-3</v>
      </c>
      <c r="CI10" s="243">
        <v>4.4999999999999998E-2</v>
      </c>
    </row>
    <row r="11" spans="1:87" s="60" customFormat="1" ht="22.8" hidden="1" x14ac:dyDescent="0.3">
      <c r="A11" s="233">
        <v>11794</v>
      </c>
      <c r="B11" s="233" t="s">
        <v>88</v>
      </c>
      <c r="C11" s="233" t="s">
        <v>83</v>
      </c>
      <c r="D11" s="233">
        <v>3106</v>
      </c>
      <c r="E11" s="233">
        <v>2025</v>
      </c>
      <c r="F11" s="233" t="s">
        <v>275</v>
      </c>
      <c r="G11" s="233">
        <v>5</v>
      </c>
      <c r="H11" s="233">
        <v>12</v>
      </c>
      <c r="I11" s="233" t="s">
        <v>715</v>
      </c>
      <c r="J11" s="234">
        <v>0</v>
      </c>
      <c r="K11" s="234">
        <v>0</v>
      </c>
      <c r="L11" s="234">
        <v>0</v>
      </c>
      <c r="M11" s="234">
        <v>0</v>
      </c>
      <c r="N11" s="234">
        <v>0</v>
      </c>
      <c r="O11" s="234">
        <v>0</v>
      </c>
      <c r="P11" s="234">
        <v>0</v>
      </c>
      <c r="Q11" s="242">
        <v>0</v>
      </c>
      <c r="R11" s="234">
        <v>0</v>
      </c>
      <c r="S11" s="234">
        <v>0</v>
      </c>
      <c r="T11" s="234">
        <v>0</v>
      </c>
      <c r="U11" s="234">
        <v>0</v>
      </c>
      <c r="V11" s="234">
        <v>0</v>
      </c>
      <c r="W11" s="234">
        <v>0</v>
      </c>
      <c r="X11" s="242">
        <v>0</v>
      </c>
      <c r="Y11" s="234">
        <v>0</v>
      </c>
      <c r="Z11" s="242">
        <v>0</v>
      </c>
      <c r="AA11" s="242">
        <v>0</v>
      </c>
      <c r="AB11" s="234">
        <v>0</v>
      </c>
      <c r="AC11" s="234">
        <v>0</v>
      </c>
      <c r="AD11" s="234">
        <v>0</v>
      </c>
      <c r="AE11" s="234">
        <v>0</v>
      </c>
      <c r="AF11" s="242">
        <v>0</v>
      </c>
      <c r="AG11" s="234">
        <v>0</v>
      </c>
      <c r="AH11" s="234">
        <v>0</v>
      </c>
      <c r="AI11" s="234">
        <v>0</v>
      </c>
      <c r="AJ11" s="242">
        <v>0</v>
      </c>
      <c r="AK11" s="242">
        <v>0</v>
      </c>
      <c r="AL11" s="234">
        <v>0</v>
      </c>
      <c r="AM11" s="234">
        <v>0</v>
      </c>
      <c r="AN11" s="234">
        <v>0</v>
      </c>
      <c r="AO11" s="242">
        <v>0</v>
      </c>
      <c r="AP11" s="242">
        <v>0</v>
      </c>
      <c r="AQ11" s="234">
        <v>52843842</v>
      </c>
      <c r="AR11" s="234">
        <v>1909516</v>
      </c>
      <c r="AS11" s="234">
        <v>5439253</v>
      </c>
      <c r="AT11" s="234">
        <v>0</v>
      </c>
      <c r="AU11" s="234">
        <v>0</v>
      </c>
      <c r="AV11" s="234">
        <v>0</v>
      </c>
      <c r="AW11" s="242">
        <v>60192611</v>
      </c>
      <c r="AX11" s="234">
        <v>0</v>
      </c>
      <c r="AY11" s="234">
        <v>0</v>
      </c>
      <c r="AZ11" s="234">
        <v>0</v>
      </c>
      <c r="BA11" s="234">
        <v>0</v>
      </c>
      <c r="BB11" s="234">
        <v>0</v>
      </c>
      <c r="BC11" s="242">
        <v>0</v>
      </c>
      <c r="BD11" s="242">
        <v>60192611</v>
      </c>
      <c r="BE11" s="234">
        <v>73471356</v>
      </c>
      <c r="BF11" s="234">
        <v>0</v>
      </c>
      <c r="BG11" s="234">
        <v>0</v>
      </c>
      <c r="BH11" s="234">
        <v>0</v>
      </c>
      <c r="BI11" s="234">
        <v>0</v>
      </c>
      <c r="BJ11" s="234">
        <v>29096982</v>
      </c>
      <c r="BK11" s="234">
        <v>0</v>
      </c>
      <c r="BL11" s="242">
        <v>102568338</v>
      </c>
      <c r="BM11" s="242">
        <v>-42375727</v>
      </c>
      <c r="BN11" s="234">
        <v>42375727</v>
      </c>
      <c r="BO11" s="234">
        <v>0</v>
      </c>
      <c r="BP11" s="234">
        <v>0</v>
      </c>
      <c r="BQ11" s="234">
        <v>0</v>
      </c>
      <c r="BR11" s="234">
        <v>0</v>
      </c>
      <c r="BS11" s="242">
        <v>0</v>
      </c>
      <c r="BT11" s="243">
        <v>-0.70399999999999996</v>
      </c>
      <c r="BU11" s="243">
        <v>0</v>
      </c>
      <c r="BV11" s="243">
        <v>-0.70399999999999996</v>
      </c>
      <c r="BW11" s="244">
        <v>0</v>
      </c>
      <c r="BX11" s="245">
        <v>0</v>
      </c>
      <c r="BY11" s="245">
        <v>0</v>
      </c>
      <c r="BZ11" s="246" t="e">
        <f t="shared" si="0"/>
        <v>#DIV/0!</v>
      </c>
      <c r="CA11" s="247">
        <v>0</v>
      </c>
      <c r="CB11" s="247">
        <v>0</v>
      </c>
      <c r="CC11" s="248">
        <v>0</v>
      </c>
      <c r="CD11" s="249">
        <v>0</v>
      </c>
      <c r="CE11" s="247" t="e">
        <f t="shared" si="1"/>
        <v>#DIV/0!</v>
      </c>
      <c r="CF11" s="242">
        <v>-42375727</v>
      </c>
      <c r="CG11" s="243">
        <v>-0.70399999999999996</v>
      </c>
      <c r="CH11" s="243">
        <v>0</v>
      </c>
      <c r="CI11" s="243">
        <v>-0.70399999999999996</v>
      </c>
    </row>
    <row r="12" spans="1:87" s="60" customFormat="1" ht="22.8" hidden="1" x14ac:dyDescent="0.3">
      <c r="A12" s="238">
        <v>3106</v>
      </c>
      <c r="B12" s="238" t="s">
        <v>84</v>
      </c>
      <c r="C12" s="238" t="s">
        <v>75</v>
      </c>
      <c r="D12" s="238">
        <v>3106</v>
      </c>
      <c r="E12" s="238">
        <v>2025</v>
      </c>
      <c r="F12" s="238" t="s">
        <v>275</v>
      </c>
      <c r="G12" s="238">
        <v>5</v>
      </c>
      <c r="H12" s="238">
        <v>12</v>
      </c>
      <c r="I12" s="238" t="s">
        <v>715</v>
      </c>
      <c r="J12" s="239">
        <v>243480381</v>
      </c>
      <c r="K12" s="239">
        <v>0</v>
      </c>
      <c r="L12" s="239">
        <v>0</v>
      </c>
      <c r="M12" s="239">
        <v>69996826</v>
      </c>
      <c r="N12" s="239">
        <v>0</v>
      </c>
      <c r="O12" s="239">
        <v>0</v>
      </c>
      <c r="P12" s="239">
        <v>36731338</v>
      </c>
      <c r="Q12" s="242">
        <v>350208545</v>
      </c>
      <c r="R12" s="239">
        <v>517491214</v>
      </c>
      <c r="S12" s="239">
        <v>0</v>
      </c>
      <c r="T12" s="239">
        <v>0</v>
      </c>
      <c r="U12" s="239">
        <v>0</v>
      </c>
      <c r="V12" s="239">
        <v>589610423</v>
      </c>
      <c r="W12" s="239">
        <v>373036340</v>
      </c>
      <c r="X12" s="242">
        <v>216574083</v>
      </c>
      <c r="Y12" s="239">
        <v>22187877</v>
      </c>
      <c r="Z12" s="242">
        <v>756253174</v>
      </c>
      <c r="AA12" s="242">
        <v>1106461719</v>
      </c>
      <c r="AB12" s="239">
        <v>4665000</v>
      </c>
      <c r="AC12" s="239">
        <v>64850395</v>
      </c>
      <c r="AD12" s="239">
        <v>0</v>
      </c>
      <c r="AE12" s="239">
        <v>101637706</v>
      </c>
      <c r="AF12" s="242">
        <v>171153101</v>
      </c>
      <c r="AG12" s="239">
        <v>34439000</v>
      </c>
      <c r="AH12" s="239">
        <v>0</v>
      </c>
      <c r="AI12" s="239">
        <v>60792727</v>
      </c>
      <c r="AJ12" s="242">
        <v>95231727</v>
      </c>
      <c r="AK12" s="242">
        <v>266384828</v>
      </c>
      <c r="AL12" s="239">
        <v>783482038</v>
      </c>
      <c r="AM12" s="239">
        <v>48453409</v>
      </c>
      <c r="AN12" s="239">
        <v>8141444</v>
      </c>
      <c r="AO12" s="242">
        <v>840076891</v>
      </c>
      <c r="AP12" s="242">
        <v>1106461719</v>
      </c>
      <c r="AQ12" s="239">
        <v>746586004</v>
      </c>
      <c r="AR12" s="239">
        <v>6711483</v>
      </c>
      <c r="AS12" s="239">
        <v>218983165</v>
      </c>
      <c r="AT12" s="239">
        <v>0</v>
      </c>
      <c r="AU12" s="239">
        <v>0</v>
      </c>
      <c r="AV12" s="239">
        <v>176404</v>
      </c>
      <c r="AW12" s="242">
        <v>972457056</v>
      </c>
      <c r="AX12" s="239">
        <v>35839450</v>
      </c>
      <c r="AY12" s="239">
        <v>0</v>
      </c>
      <c r="AZ12" s="239">
        <v>1209153</v>
      </c>
      <c r="BA12" s="239">
        <v>0</v>
      </c>
      <c r="BB12" s="239">
        <v>12935</v>
      </c>
      <c r="BC12" s="242">
        <v>37061538</v>
      </c>
      <c r="BD12" s="242">
        <v>1009518594</v>
      </c>
      <c r="BE12" s="239">
        <v>506787967</v>
      </c>
      <c r="BF12" s="239">
        <v>0</v>
      </c>
      <c r="BG12" s="239">
        <v>22123382</v>
      </c>
      <c r="BH12" s="239">
        <v>385762</v>
      </c>
      <c r="BI12" s="239">
        <v>35267258</v>
      </c>
      <c r="BJ12" s="239">
        <v>360501850</v>
      </c>
      <c r="BK12" s="239">
        <v>0</v>
      </c>
      <c r="BL12" s="242">
        <v>925066219</v>
      </c>
      <c r="BM12" s="242">
        <v>84452375</v>
      </c>
      <c r="BN12" s="239">
        <v>0</v>
      </c>
      <c r="BO12" s="239">
        <v>1385060</v>
      </c>
      <c r="BP12" s="239">
        <v>85837435</v>
      </c>
      <c r="BQ12" s="239">
        <v>0</v>
      </c>
      <c r="BR12" s="239">
        <v>0</v>
      </c>
      <c r="BS12" s="242">
        <v>85837435</v>
      </c>
      <c r="BT12" s="243">
        <v>4.7E-2</v>
      </c>
      <c r="BU12" s="243">
        <v>3.6999999999999998E-2</v>
      </c>
      <c r="BV12" s="243">
        <v>8.4000000000000005E-2</v>
      </c>
      <c r="BW12" s="244">
        <v>2</v>
      </c>
      <c r="BX12" s="245">
        <v>34</v>
      </c>
      <c r="BY12" s="245">
        <v>43</v>
      </c>
      <c r="BZ12" s="246">
        <f t="shared" si="0"/>
        <v>3.9476951612829771</v>
      </c>
      <c r="CA12" s="247">
        <v>0.51300000000000001</v>
      </c>
      <c r="CB12" s="247">
        <v>0.75900000000000001</v>
      </c>
      <c r="CC12" s="248">
        <v>17</v>
      </c>
      <c r="CD12" s="249">
        <v>98</v>
      </c>
      <c r="CE12" s="247">
        <f t="shared" si="1"/>
        <v>4.2105531463295119E-2</v>
      </c>
      <c r="CF12" s="242">
        <v>84452375</v>
      </c>
      <c r="CG12" s="243">
        <v>4.7E-2</v>
      </c>
      <c r="CH12" s="243">
        <v>3.6999999999999998E-2</v>
      </c>
      <c r="CI12" s="243">
        <v>8.4000000000000005E-2</v>
      </c>
    </row>
    <row r="13" spans="1:87" s="60" customFormat="1" ht="22.8" x14ac:dyDescent="0.3">
      <c r="A13" s="233">
        <v>6309</v>
      </c>
      <c r="B13" s="233" t="s">
        <v>86</v>
      </c>
      <c r="C13" s="233" t="s">
        <v>77</v>
      </c>
      <c r="D13" s="233">
        <v>3106</v>
      </c>
      <c r="E13" s="233">
        <v>2025</v>
      </c>
      <c r="F13" s="233" t="s">
        <v>275</v>
      </c>
      <c r="G13" s="233">
        <v>5</v>
      </c>
      <c r="H13" s="233">
        <v>12</v>
      </c>
      <c r="I13" s="233" t="s">
        <v>715</v>
      </c>
      <c r="J13" s="234">
        <v>159463666</v>
      </c>
      <c r="K13" s="234">
        <v>0</v>
      </c>
      <c r="L13" s="234">
        <v>0</v>
      </c>
      <c r="M13" s="234">
        <v>53185322</v>
      </c>
      <c r="N13" s="234">
        <v>0</v>
      </c>
      <c r="O13" s="234">
        <v>8128072</v>
      </c>
      <c r="P13" s="234">
        <v>28792119</v>
      </c>
      <c r="Q13" s="242">
        <v>249569179</v>
      </c>
      <c r="R13" s="234">
        <v>446424182</v>
      </c>
      <c r="S13" s="234">
        <v>0</v>
      </c>
      <c r="T13" s="234">
        <v>0</v>
      </c>
      <c r="U13" s="234">
        <v>0</v>
      </c>
      <c r="V13" s="234">
        <v>513489010</v>
      </c>
      <c r="W13" s="234">
        <v>329498862</v>
      </c>
      <c r="X13" s="242">
        <v>183990148</v>
      </c>
      <c r="Y13" s="234">
        <v>24257125</v>
      </c>
      <c r="Z13" s="242">
        <v>654671455</v>
      </c>
      <c r="AA13" s="242">
        <v>904240634</v>
      </c>
      <c r="AB13" s="234">
        <v>4441080</v>
      </c>
      <c r="AC13" s="234">
        <v>48917530</v>
      </c>
      <c r="AD13" s="234">
        <v>0</v>
      </c>
      <c r="AE13" s="234">
        <v>71978146</v>
      </c>
      <c r="AF13" s="242">
        <v>125336756</v>
      </c>
      <c r="AG13" s="234">
        <v>32785800</v>
      </c>
      <c r="AH13" s="234">
        <v>0</v>
      </c>
      <c r="AI13" s="234">
        <v>18584375</v>
      </c>
      <c r="AJ13" s="242">
        <v>51370175</v>
      </c>
      <c r="AK13" s="242">
        <v>176706931</v>
      </c>
      <c r="AL13" s="234">
        <v>679036119</v>
      </c>
      <c r="AM13" s="234">
        <v>40614382</v>
      </c>
      <c r="AN13" s="234">
        <v>7883202</v>
      </c>
      <c r="AO13" s="242">
        <v>727533703</v>
      </c>
      <c r="AP13" s="242">
        <v>904240634</v>
      </c>
      <c r="AQ13" s="234">
        <v>552078396</v>
      </c>
      <c r="AR13" s="234">
        <v>2395907</v>
      </c>
      <c r="AS13" s="234">
        <v>216531348</v>
      </c>
      <c r="AT13" s="234">
        <v>0</v>
      </c>
      <c r="AU13" s="234">
        <v>0</v>
      </c>
      <c r="AV13" s="234">
        <v>127756</v>
      </c>
      <c r="AW13" s="242">
        <v>771133407</v>
      </c>
      <c r="AX13" s="234">
        <v>31593361</v>
      </c>
      <c r="AY13" s="234">
        <v>0</v>
      </c>
      <c r="AZ13" s="234">
        <v>624897</v>
      </c>
      <c r="BA13" s="234">
        <v>0</v>
      </c>
      <c r="BB13" s="234">
        <v>2935</v>
      </c>
      <c r="BC13" s="242">
        <v>32221193</v>
      </c>
      <c r="BD13" s="242">
        <v>803354600</v>
      </c>
      <c r="BE13" s="234">
        <v>309621003</v>
      </c>
      <c r="BF13" s="234">
        <v>0</v>
      </c>
      <c r="BG13" s="234">
        <v>17473764</v>
      </c>
      <c r="BH13" s="234">
        <v>367006</v>
      </c>
      <c r="BI13" s="234">
        <v>33480756</v>
      </c>
      <c r="BJ13" s="234">
        <v>324472791</v>
      </c>
      <c r="BK13" s="234">
        <v>0</v>
      </c>
      <c r="BL13" s="242">
        <v>685415320</v>
      </c>
      <c r="BM13" s="242">
        <v>117939280</v>
      </c>
      <c r="BN13" s="234">
        <v>-44380809</v>
      </c>
      <c r="BO13" s="234">
        <v>681342</v>
      </c>
      <c r="BP13" s="234">
        <v>74239813</v>
      </c>
      <c r="BQ13" s="234">
        <v>0</v>
      </c>
      <c r="BR13" s="234">
        <v>0</v>
      </c>
      <c r="BS13" s="242">
        <v>74239813</v>
      </c>
      <c r="BT13" s="243">
        <v>0.107</v>
      </c>
      <c r="BU13" s="243">
        <v>0.04</v>
      </c>
      <c r="BV13" s="243">
        <v>0.14699999999999999</v>
      </c>
      <c r="BW13" s="244">
        <v>2</v>
      </c>
      <c r="BX13" s="245">
        <v>35</v>
      </c>
      <c r="BY13" s="245">
        <v>42</v>
      </c>
      <c r="BZ13" s="246">
        <f t="shared" si="0"/>
        <v>6.1672879350635581</v>
      </c>
      <c r="CA13" s="247">
        <v>0.85199999999999998</v>
      </c>
      <c r="CB13" s="247">
        <v>0.80500000000000005</v>
      </c>
      <c r="CC13" s="248">
        <v>19</v>
      </c>
      <c r="CD13" s="249">
        <v>87</v>
      </c>
      <c r="CE13" s="247">
        <f t="shared" si="1"/>
        <v>4.6058991897944067E-2</v>
      </c>
      <c r="CF13" s="242">
        <v>117939280</v>
      </c>
      <c r="CG13" s="243">
        <v>0.107</v>
      </c>
      <c r="CH13" s="243">
        <v>0.04</v>
      </c>
      <c r="CI13" s="243">
        <v>0.14699999999999999</v>
      </c>
    </row>
    <row r="14" spans="1:87" s="60" customFormat="1" ht="22.8" hidden="1" x14ac:dyDescent="0.3">
      <c r="A14" s="238">
        <v>12118</v>
      </c>
      <c r="B14" s="238" t="s">
        <v>89</v>
      </c>
      <c r="C14" s="238" t="s">
        <v>83</v>
      </c>
      <c r="D14" s="238">
        <v>3106</v>
      </c>
      <c r="E14" s="238">
        <v>2025</v>
      </c>
      <c r="F14" s="238" t="s">
        <v>275</v>
      </c>
      <c r="G14" s="238">
        <v>5</v>
      </c>
      <c r="H14" s="238">
        <v>12</v>
      </c>
      <c r="I14" s="238" t="s">
        <v>715</v>
      </c>
      <c r="J14" s="239">
        <v>0</v>
      </c>
      <c r="K14" s="239">
        <v>0</v>
      </c>
      <c r="L14" s="239">
        <v>0</v>
      </c>
      <c r="M14" s="239">
        <v>0</v>
      </c>
      <c r="N14" s="239">
        <v>0</v>
      </c>
      <c r="O14" s="239">
        <v>0</v>
      </c>
      <c r="P14" s="239">
        <v>0</v>
      </c>
      <c r="Q14" s="242">
        <v>0</v>
      </c>
      <c r="R14" s="239">
        <v>0</v>
      </c>
      <c r="S14" s="239">
        <v>0</v>
      </c>
      <c r="T14" s="239">
        <v>0</v>
      </c>
      <c r="U14" s="239">
        <v>0</v>
      </c>
      <c r="V14" s="239">
        <v>0</v>
      </c>
      <c r="W14" s="239">
        <v>0</v>
      </c>
      <c r="X14" s="242">
        <v>0</v>
      </c>
      <c r="Y14" s="239">
        <v>0</v>
      </c>
      <c r="Z14" s="242">
        <v>0</v>
      </c>
      <c r="AA14" s="242">
        <v>0</v>
      </c>
      <c r="AB14" s="239">
        <v>0</v>
      </c>
      <c r="AC14" s="239">
        <v>0</v>
      </c>
      <c r="AD14" s="239">
        <v>0</v>
      </c>
      <c r="AE14" s="239">
        <v>0</v>
      </c>
      <c r="AF14" s="242">
        <v>0</v>
      </c>
      <c r="AG14" s="239">
        <v>0</v>
      </c>
      <c r="AH14" s="239">
        <v>0</v>
      </c>
      <c r="AI14" s="239">
        <v>0</v>
      </c>
      <c r="AJ14" s="242">
        <v>0</v>
      </c>
      <c r="AK14" s="242">
        <v>0</v>
      </c>
      <c r="AL14" s="239">
        <v>0</v>
      </c>
      <c r="AM14" s="239">
        <v>0</v>
      </c>
      <c r="AN14" s="239">
        <v>0</v>
      </c>
      <c r="AO14" s="242">
        <v>0</v>
      </c>
      <c r="AP14" s="242">
        <v>0</v>
      </c>
      <c r="AQ14" s="239">
        <v>10385107</v>
      </c>
      <c r="AR14" s="239">
        <v>0</v>
      </c>
      <c r="AS14" s="239">
        <v>157458</v>
      </c>
      <c r="AT14" s="239">
        <v>0</v>
      </c>
      <c r="AU14" s="239">
        <v>0</v>
      </c>
      <c r="AV14" s="239">
        <v>0</v>
      </c>
      <c r="AW14" s="242">
        <v>10542565</v>
      </c>
      <c r="AX14" s="239">
        <v>0</v>
      </c>
      <c r="AY14" s="239">
        <v>0</v>
      </c>
      <c r="AZ14" s="239">
        <v>0</v>
      </c>
      <c r="BA14" s="239">
        <v>0</v>
      </c>
      <c r="BB14" s="239">
        <v>0</v>
      </c>
      <c r="BC14" s="242">
        <v>0</v>
      </c>
      <c r="BD14" s="242">
        <v>10542565</v>
      </c>
      <c r="BE14" s="239">
        <v>13230612</v>
      </c>
      <c r="BF14" s="239">
        <v>0</v>
      </c>
      <c r="BG14" s="239">
        <v>0</v>
      </c>
      <c r="BH14" s="239">
        <v>0</v>
      </c>
      <c r="BI14" s="239">
        <v>0</v>
      </c>
      <c r="BJ14" s="239">
        <v>2772031</v>
      </c>
      <c r="BK14" s="239">
        <v>0</v>
      </c>
      <c r="BL14" s="242">
        <v>16002643</v>
      </c>
      <c r="BM14" s="242">
        <v>-5460078</v>
      </c>
      <c r="BN14" s="239">
        <v>5207588</v>
      </c>
      <c r="BO14" s="239">
        <v>0</v>
      </c>
      <c r="BP14" s="239">
        <v>-252490</v>
      </c>
      <c r="BQ14" s="239">
        <v>0</v>
      </c>
      <c r="BR14" s="239">
        <v>0</v>
      </c>
      <c r="BS14" s="242">
        <v>-252490</v>
      </c>
      <c r="BT14" s="243">
        <v>-0.51800000000000002</v>
      </c>
      <c r="BU14" s="243">
        <v>0</v>
      </c>
      <c r="BV14" s="243">
        <v>-0.51800000000000002</v>
      </c>
      <c r="BW14" s="244">
        <v>0</v>
      </c>
      <c r="BX14" s="245">
        <v>0</v>
      </c>
      <c r="BY14" s="245">
        <v>0</v>
      </c>
      <c r="BZ14" s="246" t="e">
        <f t="shared" si="0"/>
        <v>#DIV/0!</v>
      </c>
      <c r="CA14" s="247">
        <v>0</v>
      </c>
      <c r="CB14" s="247">
        <v>0</v>
      </c>
      <c r="CC14" s="248">
        <v>0</v>
      </c>
      <c r="CD14" s="249">
        <v>0</v>
      </c>
      <c r="CE14" s="247" t="e">
        <f t="shared" si="1"/>
        <v>#DIV/0!</v>
      </c>
      <c r="CF14" s="242">
        <v>0</v>
      </c>
      <c r="CG14" s="243">
        <v>0</v>
      </c>
      <c r="CH14" s="243">
        <v>0</v>
      </c>
      <c r="CI14" s="243">
        <v>0</v>
      </c>
    </row>
    <row r="15" spans="1:87" s="60" customFormat="1" ht="22.8" x14ac:dyDescent="0.3">
      <c r="A15" s="233">
        <v>98</v>
      </c>
      <c r="B15" s="233" t="s">
        <v>92</v>
      </c>
      <c r="C15" s="233" t="s">
        <v>77</v>
      </c>
      <c r="D15" s="233">
        <v>16665</v>
      </c>
      <c r="E15" s="233">
        <v>2025</v>
      </c>
      <c r="F15" s="233" t="s">
        <v>275</v>
      </c>
      <c r="G15" s="233">
        <v>5</v>
      </c>
      <c r="H15" s="233">
        <v>12</v>
      </c>
      <c r="I15" s="233" t="s">
        <v>715</v>
      </c>
      <c r="J15" s="234">
        <v>846000</v>
      </c>
      <c r="K15" s="234">
        <v>43283000</v>
      </c>
      <c r="L15" s="234">
        <v>0</v>
      </c>
      <c r="M15" s="234">
        <v>20567000</v>
      </c>
      <c r="N15" s="234">
        <v>0</v>
      </c>
      <c r="O15" s="234">
        <v>0</v>
      </c>
      <c r="P15" s="234">
        <v>2605000</v>
      </c>
      <c r="Q15" s="242">
        <v>67301000</v>
      </c>
      <c r="R15" s="234">
        <v>12546000</v>
      </c>
      <c r="S15" s="234">
        <v>1228000</v>
      </c>
      <c r="T15" s="234">
        <v>0</v>
      </c>
      <c r="U15" s="234">
        <v>0</v>
      </c>
      <c r="V15" s="234">
        <v>182969000</v>
      </c>
      <c r="W15" s="234">
        <v>84475000</v>
      </c>
      <c r="X15" s="242">
        <v>98494000</v>
      </c>
      <c r="Y15" s="234">
        <v>5209000</v>
      </c>
      <c r="Z15" s="242">
        <v>117477000</v>
      </c>
      <c r="AA15" s="242">
        <v>184778000</v>
      </c>
      <c r="AB15" s="234">
        <v>1586000</v>
      </c>
      <c r="AC15" s="234">
        <v>12928000</v>
      </c>
      <c r="AD15" s="234">
        <v>24230000</v>
      </c>
      <c r="AE15" s="234">
        <v>13274000</v>
      </c>
      <c r="AF15" s="242">
        <v>52018000</v>
      </c>
      <c r="AG15" s="234">
        <v>34299000</v>
      </c>
      <c r="AH15" s="234">
        <v>0</v>
      </c>
      <c r="AI15" s="234">
        <v>1670000</v>
      </c>
      <c r="AJ15" s="242">
        <v>35969000</v>
      </c>
      <c r="AK15" s="242">
        <v>87987000</v>
      </c>
      <c r="AL15" s="234">
        <v>83017000</v>
      </c>
      <c r="AM15" s="234">
        <v>10822000</v>
      </c>
      <c r="AN15" s="234">
        <v>2952000</v>
      </c>
      <c r="AO15" s="242">
        <v>96791000</v>
      </c>
      <c r="AP15" s="242">
        <v>184778000</v>
      </c>
      <c r="AQ15" s="234">
        <v>153950000</v>
      </c>
      <c r="AR15" s="234">
        <v>0</v>
      </c>
      <c r="AS15" s="234">
        <v>10650000</v>
      </c>
      <c r="AT15" s="234">
        <v>0</v>
      </c>
      <c r="AU15" s="234">
        <v>0</v>
      </c>
      <c r="AV15" s="234">
        <v>0</v>
      </c>
      <c r="AW15" s="242">
        <v>164600000</v>
      </c>
      <c r="AX15" s="234">
        <v>1705000</v>
      </c>
      <c r="AY15" s="234">
        <v>0</v>
      </c>
      <c r="AZ15" s="234">
        <v>5626000</v>
      </c>
      <c r="BA15" s="234">
        <v>-792000</v>
      </c>
      <c r="BB15" s="234">
        <v>0</v>
      </c>
      <c r="BC15" s="242">
        <v>6539000</v>
      </c>
      <c r="BD15" s="242">
        <v>171139000</v>
      </c>
      <c r="BE15" s="234">
        <v>82479000</v>
      </c>
      <c r="BF15" s="234">
        <v>0</v>
      </c>
      <c r="BG15" s="234">
        <v>13624000</v>
      </c>
      <c r="BH15" s="234">
        <v>311000</v>
      </c>
      <c r="BI15" s="234">
        <v>3484000</v>
      </c>
      <c r="BJ15" s="234">
        <v>81679000</v>
      </c>
      <c r="BK15" s="234">
        <v>0</v>
      </c>
      <c r="BL15" s="242">
        <v>181577000</v>
      </c>
      <c r="BM15" s="242">
        <v>-10438000</v>
      </c>
      <c r="BN15" s="234">
        <v>-5157000</v>
      </c>
      <c r="BO15" s="234">
        <v>0</v>
      </c>
      <c r="BP15" s="234">
        <v>-15595000</v>
      </c>
      <c r="BQ15" s="234">
        <v>944000</v>
      </c>
      <c r="BR15" s="234">
        <v>0</v>
      </c>
      <c r="BS15" s="242">
        <v>-14651000</v>
      </c>
      <c r="BT15" s="243">
        <v>-9.9000000000000005E-2</v>
      </c>
      <c r="BU15" s="243">
        <v>3.7999999999999999E-2</v>
      </c>
      <c r="BV15" s="243">
        <v>-6.0999999999999999E-2</v>
      </c>
      <c r="BW15" s="244">
        <v>1.3</v>
      </c>
      <c r="BX15" s="245">
        <v>49</v>
      </c>
      <c r="BY15" s="245">
        <v>85</v>
      </c>
      <c r="BZ15" s="246">
        <f t="shared" si="0"/>
        <v>-0.13997370151216304</v>
      </c>
      <c r="CA15" s="247">
        <v>-2.8000000000000001E-2</v>
      </c>
      <c r="CB15" s="247">
        <v>0.52400000000000002</v>
      </c>
      <c r="CC15" s="248">
        <v>6</v>
      </c>
      <c r="CD15" s="249">
        <v>96</v>
      </c>
      <c r="CE15" s="247">
        <f t="shared" si="1"/>
        <v>0.29236421289508679</v>
      </c>
      <c r="CF15" s="242">
        <v>-10438000</v>
      </c>
      <c r="CG15" s="243">
        <v>-9.9000000000000005E-2</v>
      </c>
      <c r="CH15" s="243">
        <v>3.7999999999999999E-2</v>
      </c>
      <c r="CI15" s="243">
        <v>-6.0999999999999999E-2</v>
      </c>
    </row>
    <row r="16" spans="1:87" s="60" customFormat="1" ht="22.8" x14ac:dyDescent="0.3">
      <c r="A16" s="238">
        <v>53</v>
      </c>
      <c r="B16" s="238" t="s">
        <v>93</v>
      </c>
      <c r="C16" s="238" t="s">
        <v>77</v>
      </c>
      <c r="D16" s="238">
        <v>16665</v>
      </c>
      <c r="E16" s="238">
        <v>2025</v>
      </c>
      <c r="F16" s="238" t="s">
        <v>275</v>
      </c>
      <c r="G16" s="238">
        <v>5</v>
      </c>
      <c r="H16" s="238">
        <v>12</v>
      </c>
      <c r="I16" s="238" t="s">
        <v>715</v>
      </c>
      <c r="J16" s="239">
        <v>41000</v>
      </c>
      <c r="K16" s="239">
        <v>16304000</v>
      </c>
      <c r="L16" s="239">
        <v>0</v>
      </c>
      <c r="M16" s="239">
        <v>15151000</v>
      </c>
      <c r="N16" s="239">
        <v>17108000</v>
      </c>
      <c r="O16" s="239">
        <v>0</v>
      </c>
      <c r="P16" s="239">
        <v>2493000</v>
      </c>
      <c r="Q16" s="242">
        <v>51097000</v>
      </c>
      <c r="R16" s="239">
        <v>21957000</v>
      </c>
      <c r="S16" s="239">
        <v>13797000</v>
      </c>
      <c r="T16" s="239">
        <v>0</v>
      </c>
      <c r="U16" s="239">
        <v>0</v>
      </c>
      <c r="V16" s="239">
        <v>212699000</v>
      </c>
      <c r="W16" s="239">
        <v>97723000</v>
      </c>
      <c r="X16" s="242">
        <v>114976000</v>
      </c>
      <c r="Y16" s="239">
        <v>5779000</v>
      </c>
      <c r="Z16" s="242">
        <v>156509000</v>
      </c>
      <c r="AA16" s="242">
        <v>207606000</v>
      </c>
      <c r="AB16" s="239">
        <v>1640000</v>
      </c>
      <c r="AC16" s="239">
        <v>3133000</v>
      </c>
      <c r="AD16" s="239">
        <v>0</v>
      </c>
      <c r="AE16" s="239">
        <v>12021000</v>
      </c>
      <c r="AF16" s="242">
        <v>16794000</v>
      </c>
      <c r="AG16" s="239">
        <v>53621000</v>
      </c>
      <c r="AH16" s="239">
        <v>0</v>
      </c>
      <c r="AI16" s="239">
        <v>20885000</v>
      </c>
      <c r="AJ16" s="242">
        <v>74506000</v>
      </c>
      <c r="AK16" s="242">
        <v>91300000</v>
      </c>
      <c r="AL16" s="239">
        <v>82674000</v>
      </c>
      <c r="AM16" s="239">
        <v>25917000</v>
      </c>
      <c r="AN16" s="239">
        <v>7715000</v>
      </c>
      <c r="AO16" s="242">
        <v>116306000</v>
      </c>
      <c r="AP16" s="242">
        <v>207606000</v>
      </c>
      <c r="AQ16" s="239">
        <v>167638000</v>
      </c>
      <c r="AR16" s="239">
        <v>0</v>
      </c>
      <c r="AS16" s="239">
        <v>6257000</v>
      </c>
      <c r="AT16" s="239">
        <v>0</v>
      </c>
      <c r="AU16" s="239">
        <v>0</v>
      </c>
      <c r="AV16" s="239">
        <v>0</v>
      </c>
      <c r="AW16" s="242">
        <v>173895000</v>
      </c>
      <c r="AX16" s="239">
        <v>332000</v>
      </c>
      <c r="AY16" s="239">
        <v>0</v>
      </c>
      <c r="AZ16" s="239">
        <v>1113000</v>
      </c>
      <c r="BA16" s="239">
        <v>0</v>
      </c>
      <c r="BB16" s="239">
        <v>0</v>
      </c>
      <c r="BC16" s="242">
        <v>1445000</v>
      </c>
      <c r="BD16" s="242">
        <v>175340000</v>
      </c>
      <c r="BE16" s="239">
        <v>78860000</v>
      </c>
      <c r="BF16" s="239">
        <v>0</v>
      </c>
      <c r="BG16" s="239">
        <v>10997000</v>
      </c>
      <c r="BH16" s="239">
        <v>1922000</v>
      </c>
      <c r="BI16" s="239">
        <v>1919000</v>
      </c>
      <c r="BJ16" s="239">
        <v>76674000</v>
      </c>
      <c r="BK16" s="239">
        <v>0</v>
      </c>
      <c r="BL16" s="242">
        <v>170372000</v>
      </c>
      <c r="BM16" s="242">
        <v>4968000</v>
      </c>
      <c r="BN16" s="239">
        <v>0</v>
      </c>
      <c r="BO16" s="239">
        <v>10314000</v>
      </c>
      <c r="BP16" s="239">
        <v>15282000</v>
      </c>
      <c r="BQ16" s="239">
        <v>0</v>
      </c>
      <c r="BR16" s="239">
        <v>0</v>
      </c>
      <c r="BS16" s="242">
        <v>15282000</v>
      </c>
      <c r="BT16" s="243">
        <v>0.02</v>
      </c>
      <c r="BU16" s="243">
        <v>8.0000000000000002E-3</v>
      </c>
      <c r="BV16" s="243">
        <v>2.8000000000000001E-2</v>
      </c>
      <c r="BW16" s="244">
        <v>3</v>
      </c>
      <c r="BX16" s="245">
        <v>33</v>
      </c>
      <c r="BY16" s="245">
        <v>31</v>
      </c>
      <c r="BZ16" s="246">
        <f t="shared" si="0"/>
        <v>1.3273720028487774</v>
      </c>
      <c r="CA16" s="247">
        <v>0.21099999999999999</v>
      </c>
      <c r="CB16" s="247">
        <v>0.56000000000000005</v>
      </c>
      <c r="CC16" s="248">
        <v>9</v>
      </c>
      <c r="CD16" s="249">
        <v>37</v>
      </c>
      <c r="CE16" s="247">
        <f t="shared" si="1"/>
        <v>0.39341868740599434</v>
      </c>
      <c r="CF16" s="242">
        <v>4968000</v>
      </c>
      <c r="CG16" s="243">
        <v>0.02</v>
      </c>
      <c r="CH16" s="243">
        <v>8.0000000000000002E-3</v>
      </c>
      <c r="CI16" s="243">
        <v>2.8000000000000001E-2</v>
      </c>
    </row>
    <row r="17" spans="1:87" s="60" customFormat="1" ht="22.8" x14ac:dyDescent="0.3">
      <c r="A17" s="233">
        <v>79</v>
      </c>
      <c r="B17" s="233" t="s">
        <v>94</v>
      </c>
      <c r="C17" s="233" t="s">
        <v>77</v>
      </c>
      <c r="D17" s="233">
        <v>16665</v>
      </c>
      <c r="E17" s="233">
        <v>2025</v>
      </c>
      <c r="F17" s="233" t="s">
        <v>275</v>
      </c>
      <c r="G17" s="233">
        <v>5</v>
      </c>
      <c r="H17" s="233">
        <v>12</v>
      </c>
      <c r="I17" s="233" t="s">
        <v>715</v>
      </c>
      <c r="J17" s="234">
        <v>183000</v>
      </c>
      <c r="K17" s="234">
        <v>25628000</v>
      </c>
      <c r="L17" s="234">
        <v>0</v>
      </c>
      <c r="M17" s="234">
        <v>38172000</v>
      </c>
      <c r="N17" s="234">
        <v>0</v>
      </c>
      <c r="O17" s="234">
        <v>0</v>
      </c>
      <c r="P17" s="234">
        <v>8375000</v>
      </c>
      <c r="Q17" s="242">
        <v>72358000</v>
      </c>
      <c r="R17" s="234">
        <v>19177000</v>
      </c>
      <c r="S17" s="234">
        <v>2813000</v>
      </c>
      <c r="T17" s="234">
        <v>0</v>
      </c>
      <c r="U17" s="234">
        <v>0</v>
      </c>
      <c r="V17" s="234">
        <v>261811000</v>
      </c>
      <c r="W17" s="234">
        <v>101779000</v>
      </c>
      <c r="X17" s="242">
        <v>160032000</v>
      </c>
      <c r="Y17" s="234">
        <v>23225000</v>
      </c>
      <c r="Z17" s="242">
        <v>205247000</v>
      </c>
      <c r="AA17" s="242">
        <v>277605000</v>
      </c>
      <c r="AB17" s="234">
        <v>4289000</v>
      </c>
      <c r="AC17" s="234">
        <v>8483000</v>
      </c>
      <c r="AD17" s="234">
        <v>63240000</v>
      </c>
      <c r="AE17" s="234">
        <v>31507000</v>
      </c>
      <c r="AF17" s="242">
        <v>107519000</v>
      </c>
      <c r="AG17" s="234">
        <v>64062000</v>
      </c>
      <c r="AH17" s="234">
        <v>0</v>
      </c>
      <c r="AI17" s="234">
        <v>22991000</v>
      </c>
      <c r="AJ17" s="242">
        <v>87053000</v>
      </c>
      <c r="AK17" s="242">
        <v>194572000</v>
      </c>
      <c r="AL17" s="234">
        <v>60983000</v>
      </c>
      <c r="AM17" s="234">
        <v>10387000</v>
      </c>
      <c r="AN17" s="234">
        <v>11663000</v>
      </c>
      <c r="AO17" s="242">
        <v>83033000</v>
      </c>
      <c r="AP17" s="242">
        <v>277605000</v>
      </c>
      <c r="AQ17" s="234">
        <v>372348000</v>
      </c>
      <c r="AR17" s="234">
        <v>0</v>
      </c>
      <c r="AS17" s="234">
        <v>18423000</v>
      </c>
      <c r="AT17" s="234">
        <v>0</v>
      </c>
      <c r="AU17" s="234">
        <v>0</v>
      </c>
      <c r="AV17" s="234">
        <v>0</v>
      </c>
      <c r="AW17" s="242">
        <v>390771000</v>
      </c>
      <c r="AX17" s="234">
        <v>1054000</v>
      </c>
      <c r="AY17" s="234">
        <v>0</v>
      </c>
      <c r="AZ17" s="234">
        <v>3477000</v>
      </c>
      <c r="BA17" s="234">
        <v>861000</v>
      </c>
      <c r="BB17" s="234">
        <v>0</v>
      </c>
      <c r="BC17" s="242">
        <v>5392000</v>
      </c>
      <c r="BD17" s="242">
        <v>396163000</v>
      </c>
      <c r="BE17" s="234">
        <v>167341000</v>
      </c>
      <c r="BF17" s="234">
        <v>0</v>
      </c>
      <c r="BG17" s="234">
        <v>15472000</v>
      </c>
      <c r="BH17" s="234">
        <v>1105000</v>
      </c>
      <c r="BI17" s="234">
        <v>7042000</v>
      </c>
      <c r="BJ17" s="234">
        <v>192915000</v>
      </c>
      <c r="BK17" s="234">
        <v>0</v>
      </c>
      <c r="BL17" s="242">
        <v>383875000</v>
      </c>
      <c r="BM17" s="242">
        <v>12288000</v>
      </c>
      <c r="BN17" s="234">
        <v>-19476000</v>
      </c>
      <c r="BO17" s="234">
        <v>3955000</v>
      </c>
      <c r="BP17" s="234">
        <v>-3233000</v>
      </c>
      <c r="BQ17" s="234">
        <v>-959000</v>
      </c>
      <c r="BR17" s="234">
        <v>0</v>
      </c>
      <c r="BS17" s="242">
        <v>-4192000</v>
      </c>
      <c r="BT17" s="243">
        <v>1.7000000000000001E-2</v>
      </c>
      <c r="BU17" s="243">
        <v>1.4E-2</v>
      </c>
      <c r="BV17" s="243">
        <v>3.1E-2</v>
      </c>
      <c r="BW17" s="244">
        <v>0.7</v>
      </c>
      <c r="BX17" s="245">
        <v>37</v>
      </c>
      <c r="BY17" s="245">
        <v>98</v>
      </c>
      <c r="BZ17" s="246">
        <f t="shared" si="0"/>
        <v>1.284752795911138</v>
      </c>
      <c r="CA17" s="247">
        <v>0.14199999999999999</v>
      </c>
      <c r="CB17" s="247">
        <v>0.29899999999999999</v>
      </c>
      <c r="CC17" s="248">
        <v>7</v>
      </c>
      <c r="CD17" s="249">
        <v>26</v>
      </c>
      <c r="CE17" s="247">
        <f t="shared" si="1"/>
        <v>0.51231156783557918</v>
      </c>
      <c r="CF17" s="242">
        <v>12288000</v>
      </c>
      <c r="CG17" s="243">
        <v>1.7000000000000001E-2</v>
      </c>
      <c r="CH17" s="243">
        <v>1.4E-2</v>
      </c>
      <c r="CI17" s="243">
        <v>3.1E-2</v>
      </c>
    </row>
    <row r="18" spans="1:87" s="60" customFormat="1" ht="22.8" x14ac:dyDescent="0.3">
      <c r="A18" s="238">
        <v>8702</v>
      </c>
      <c r="B18" s="238" t="s">
        <v>95</v>
      </c>
      <c r="C18" s="238" t="s">
        <v>77</v>
      </c>
      <c r="D18" s="238">
        <v>16665</v>
      </c>
      <c r="E18" s="238">
        <v>2025</v>
      </c>
      <c r="F18" s="238" t="s">
        <v>275</v>
      </c>
      <c r="G18" s="238">
        <v>5</v>
      </c>
      <c r="H18" s="238">
        <v>12</v>
      </c>
      <c r="I18" s="238" t="s">
        <v>715</v>
      </c>
      <c r="J18" s="239">
        <v>1283000</v>
      </c>
      <c r="K18" s="239">
        <v>774209000</v>
      </c>
      <c r="L18" s="239">
        <v>0</v>
      </c>
      <c r="M18" s="239">
        <v>285884000</v>
      </c>
      <c r="N18" s="239">
        <v>796901000</v>
      </c>
      <c r="O18" s="239">
        <v>0</v>
      </c>
      <c r="P18" s="239">
        <v>142661000</v>
      </c>
      <c r="Q18" s="242">
        <v>2000938000</v>
      </c>
      <c r="R18" s="239">
        <v>1146363000</v>
      </c>
      <c r="S18" s="239">
        <v>39584000</v>
      </c>
      <c r="T18" s="239">
        <v>0</v>
      </c>
      <c r="U18" s="239">
        <v>0</v>
      </c>
      <c r="V18" s="239">
        <v>3641769000</v>
      </c>
      <c r="W18" s="239">
        <v>2464657000</v>
      </c>
      <c r="X18" s="242">
        <v>1177112000</v>
      </c>
      <c r="Y18" s="239">
        <v>418354000</v>
      </c>
      <c r="Z18" s="242">
        <v>2781413000</v>
      </c>
      <c r="AA18" s="242">
        <v>4782351000</v>
      </c>
      <c r="AB18" s="239">
        <v>10810000</v>
      </c>
      <c r="AC18" s="239">
        <v>52000</v>
      </c>
      <c r="AD18" s="239">
        <v>0</v>
      </c>
      <c r="AE18" s="239">
        <v>377808000</v>
      </c>
      <c r="AF18" s="242">
        <v>388670000</v>
      </c>
      <c r="AG18" s="239">
        <v>2044534000</v>
      </c>
      <c r="AH18" s="239">
        <v>0</v>
      </c>
      <c r="AI18" s="239">
        <v>500260000</v>
      </c>
      <c r="AJ18" s="242">
        <v>2544794000</v>
      </c>
      <c r="AK18" s="242">
        <v>2933464000</v>
      </c>
      <c r="AL18" s="239">
        <v>1404155000</v>
      </c>
      <c r="AM18" s="239">
        <v>336126000</v>
      </c>
      <c r="AN18" s="239">
        <v>108606000</v>
      </c>
      <c r="AO18" s="242">
        <v>1848887000</v>
      </c>
      <c r="AP18" s="242">
        <v>4782351000</v>
      </c>
      <c r="AQ18" s="239">
        <v>2359619000</v>
      </c>
      <c r="AR18" s="239">
        <v>0</v>
      </c>
      <c r="AS18" s="239">
        <v>1020845000</v>
      </c>
      <c r="AT18" s="239">
        <v>0</v>
      </c>
      <c r="AU18" s="239">
        <v>0</v>
      </c>
      <c r="AV18" s="239">
        <v>0</v>
      </c>
      <c r="AW18" s="242">
        <v>3380464000</v>
      </c>
      <c r="AX18" s="239">
        <v>23962000</v>
      </c>
      <c r="AY18" s="239">
        <v>0</v>
      </c>
      <c r="AZ18" s="239">
        <v>88637000</v>
      </c>
      <c r="BA18" s="239">
        <v>-3293000</v>
      </c>
      <c r="BB18" s="239">
        <v>0</v>
      </c>
      <c r="BC18" s="242">
        <v>109306000</v>
      </c>
      <c r="BD18" s="242">
        <v>3489770000</v>
      </c>
      <c r="BE18" s="239">
        <v>1127789000</v>
      </c>
      <c r="BF18" s="239">
        <v>0</v>
      </c>
      <c r="BG18" s="239">
        <v>101452000</v>
      </c>
      <c r="BH18" s="239">
        <v>56424000</v>
      </c>
      <c r="BI18" s="239">
        <v>32500000</v>
      </c>
      <c r="BJ18" s="239">
        <v>1928085000</v>
      </c>
      <c r="BK18" s="239">
        <v>0</v>
      </c>
      <c r="BL18" s="242">
        <v>3246250000</v>
      </c>
      <c r="BM18" s="242">
        <v>243520000</v>
      </c>
      <c r="BN18" s="239">
        <v>-54640000</v>
      </c>
      <c r="BO18" s="239">
        <v>0</v>
      </c>
      <c r="BP18" s="239">
        <v>188880000</v>
      </c>
      <c r="BQ18" s="239">
        <v>-4985000</v>
      </c>
      <c r="BR18" s="239">
        <v>0</v>
      </c>
      <c r="BS18" s="242">
        <v>183895000</v>
      </c>
      <c r="BT18" s="243">
        <v>3.7999999999999999E-2</v>
      </c>
      <c r="BU18" s="243">
        <v>3.1E-2</v>
      </c>
      <c r="BV18" s="243">
        <v>7.0000000000000007E-2</v>
      </c>
      <c r="BW18" s="244">
        <v>5.0999999999999996</v>
      </c>
      <c r="BX18" s="245">
        <v>44</v>
      </c>
      <c r="BY18" s="245">
        <v>45</v>
      </c>
      <c r="BZ18" s="246">
        <f t="shared" si="0"/>
        <v>2.7859738825248082</v>
      </c>
      <c r="CA18" s="247">
        <v>0.105</v>
      </c>
      <c r="CB18" s="247">
        <v>0.38700000000000001</v>
      </c>
      <c r="CC18" s="248">
        <v>24</v>
      </c>
      <c r="CD18" s="249">
        <v>90</v>
      </c>
      <c r="CE18" s="247">
        <f t="shared" si="1"/>
        <v>0.59284383138056229</v>
      </c>
      <c r="CF18" s="242">
        <v>243520000</v>
      </c>
      <c r="CG18" s="243">
        <v>3.7999999999999999E-2</v>
      </c>
      <c r="CH18" s="243">
        <v>3.1E-2</v>
      </c>
      <c r="CI18" s="243">
        <v>7.0000000000000007E-2</v>
      </c>
    </row>
    <row r="19" spans="1:87" s="60" customFormat="1" ht="22.8" hidden="1" x14ac:dyDescent="0.3">
      <c r="A19" s="238">
        <v>16665</v>
      </c>
      <c r="B19" s="238" t="s">
        <v>90</v>
      </c>
      <c r="C19" s="238" t="s">
        <v>75</v>
      </c>
      <c r="D19" s="238">
        <v>16665</v>
      </c>
      <c r="E19" s="238">
        <v>2025</v>
      </c>
      <c r="F19" s="238" t="s">
        <v>275</v>
      </c>
      <c r="G19" s="238">
        <v>5</v>
      </c>
      <c r="H19" s="238">
        <v>12</v>
      </c>
      <c r="I19" s="238" t="s">
        <v>715</v>
      </c>
      <c r="J19" s="239">
        <v>662834000</v>
      </c>
      <c r="K19" s="239">
        <v>2395469000</v>
      </c>
      <c r="L19" s="239">
        <v>0</v>
      </c>
      <c r="M19" s="239">
        <v>856139000</v>
      </c>
      <c r="N19" s="239">
        <v>0</v>
      </c>
      <c r="O19" s="239">
        <v>0</v>
      </c>
      <c r="P19" s="239">
        <v>457249000</v>
      </c>
      <c r="Q19" s="242">
        <v>4371691000</v>
      </c>
      <c r="R19" s="239">
        <v>1811296000</v>
      </c>
      <c r="S19" s="239">
        <v>117191000</v>
      </c>
      <c r="T19" s="239">
        <v>0</v>
      </c>
      <c r="U19" s="239">
        <v>0</v>
      </c>
      <c r="V19" s="239">
        <v>8214121000</v>
      </c>
      <c r="W19" s="239">
        <v>5415882000</v>
      </c>
      <c r="X19" s="242">
        <v>2798239000</v>
      </c>
      <c r="Y19" s="239">
        <v>1254634000</v>
      </c>
      <c r="Z19" s="242">
        <v>5981360000</v>
      </c>
      <c r="AA19" s="242">
        <v>10353051000</v>
      </c>
      <c r="AB19" s="239">
        <v>43002000</v>
      </c>
      <c r="AC19" s="239">
        <v>189529000</v>
      </c>
      <c r="AD19" s="239">
        <v>0</v>
      </c>
      <c r="AE19" s="239">
        <v>1242404000</v>
      </c>
      <c r="AF19" s="242">
        <v>1474935000</v>
      </c>
      <c r="AG19" s="239">
        <v>2796228000</v>
      </c>
      <c r="AH19" s="239">
        <v>0</v>
      </c>
      <c r="AI19" s="239">
        <v>1288164000</v>
      </c>
      <c r="AJ19" s="242">
        <v>4084392000</v>
      </c>
      <c r="AK19" s="242">
        <v>5559327000</v>
      </c>
      <c r="AL19" s="239">
        <v>3698510000</v>
      </c>
      <c r="AM19" s="239">
        <v>751164000</v>
      </c>
      <c r="AN19" s="239">
        <v>344050000</v>
      </c>
      <c r="AO19" s="242">
        <v>4793724000</v>
      </c>
      <c r="AP19" s="242">
        <v>10353051000</v>
      </c>
      <c r="AQ19" s="239">
        <v>7564972000</v>
      </c>
      <c r="AR19" s="239">
        <v>0</v>
      </c>
      <c r="AS19" s="239">
        <v>2114995000</v>
      </c>
      <c r="AT19" s="239">
        <v>0</v>
      </c>
      <c r="AU19" s="239">
        <v>0</v>
      </c>
      <c r="AV19" s="239">
        <v>0</v>
      </c>
      <c r="AW19" s="242">
        <v>9679967000</v>
      </c>
      <c r="AX19" s="239">
        <v>84064000</v>
      </c>
      <c r="AY19" s="239">
        <v>0</v>
      </c>
      <c r="AZ19" s="239">
        <v>200142000</v>
      </c>
      <c r="BA19" s="239">
        <v>-1337000</v>
      </c>
      <c r="BB19" s="239">
        <v>0</v>
      </c>
      <c r="BC19" s="242">
        <v>282869000</v>
      </c>
      <c r="BD19" s="242">
        <v>9962836000</v>
      </c>
      <c r="BE19" s="239">
        <v>5474242000</v>
      </c>
      <c r="BF19" s="239">
        <v>0</v>
      </c>
      <c r="BG19" s="239">
        <v>322426000</v>
      </c>
      <c r="BH19" s="239">
        <v>79292000</v>
      </c>
      <c r="BI19" s="239">
        <v>97475000</v>
      </c>
      <c r="BJ19" s="239">
        <v>3613228000</v>
      </c>
      <c r="BK19" s="239">
        <v>0</v>
      </c>
      <c r="BL19" s="242">
        <v>9586663000</v>
      </c>
      <c r="BM19" s="242">
        <v>376173000</v>
      </c>
      <c r="BN19" s="239">
        <v>0</v>
      </c>
      <c r="BO19" s="239">
        <v>22512000</v>
      </c>
      <c r="BP19" s="239">
        <v>398685000</v>
      </c>
      <c r="BQ19" s="239">
        <v>27555000</v>
      </c>
      <c r="BR19" s="239">
        <v>0</v>
      </c>
      <c r="BS19" s="242">
        <v>426240000</v>
      </c>
      <c r="BT19" s="243">
        <v>8.9999999999999993E-3</v>
      </c>
      <c r="BU19" s="243">
        <v>2.8000000000000001E-2</v>
      </c>
      <c r="BV19" s="243">
        <v>3.7999999999999999E-2</v>
      </c>
      <c r="BW19" s="244">
        <v>3</v>
      </c>
      <c r="BX19" s="245">
        <v>41</v>
      </c>
      <c r="BY19" s="245">
        <v>51</v>
      </c>
      <c r="BZ19" s="246">
        <f t="shared" si="0"/>
        <v>1.5810200641439627</v>
      </c>
      <c r="CA19" s="247">
        <v>0.11700000000000001</v>
      </c>
      <c r="CB19" s="247">
        <v>0.46300000000000002</v>
      </c>
      <c r="CC19" s="248">
        <v>17</v>
      </c>
      <c r="CD19" s="249">
        <v>120</v>
      </c>
      <c r="CE19" s="247">
        <f t="shared" si="1"/>
        <v>0.43053745970969115</v>
      </c>
      <c r="CF19" s="242">
        <v>376173000</v>
      </c>
      <c r="CG19" s="243">
        <v>8.9999999999999993E-3</v>
      </c>
      <c r="CH19" s="243">
        <v>2.8000000000000001E-2</v>
      </c>
      <c r="CI19" s="243">
        <v>3.7999999999999999E-2</v>
      </c>
    </row>
    <row r="20" spans="1:87" s="60" customFormat="1" ht="22.8" x14ac:dyDescent="0.3">
      <c r="A20" s="233">
        <v>126</v>
      </c>
      <c r="B20" s="233" t="s">
        <v>693</v>
      </c>
      <c r="C20" s="233" t="s">
        <v>77</v>
      </c>
      <c r="D20" s="233">
        <v>14287</v>
      </c>
      <c r="E20" s="233">
        <v>2025</v>
      </c>
      <c r="F20" s="233" t="s">
        <v>275</v>
      </c>
      <c r="G20" s="233">
        <v>5</v>
      </c>
      <c r="H20" s="233">
        <v>12</v>
      </c>
      <c r="I20" s="233" t="s">
        <v>715</v>
      </c>
      <c r="J20" s="234">
        <v>11611561</v>
      </c>
      <c r="K20" s="234">
        <v>0</v>
      </c>
      <c r="L20" s="234">
        <v>0</v>
      </c>
      <c r="M20" s="234">
        <v>60458686</v>
      </c>
      <c r="N20" s="234">
        <v>0</v>
      </c>
      <c r="O20" s="234">
        <v>0</v>
      </c>
      <c r="P20" s="234">
        <v>10680510</v>
      </c>
      <c r="Q20" s="242">
        <v>82750757</v>
      </c>
      <c r="R20" s="234">
        <v>0</v>
      </c>
      <c r="S20" s="234">
        <v>0</v>
      </c>
      <c r="T20" s="234">
        <v>0</v>
      </c>
      <c r="U20" s="234">
        <v>0</v>
      </c>
      <c r="V20" s="234">
        <v>27574424</v>
      </c>
      <c r="W20" s="234">
        <v>712879</v>
      </c>
      <c r="X20" s="242">
        <v>26861545</v>
      </c>
      <c r="Y20" s="234">
        <v>18552971</v>
      </c>
      <c r="Z20" s="242">
        <v>45414516</v>
      </c>
      <c r="AA20" s="242">
        <v>128165273</v>
      </c>
      <c r="AB20" s="234">
        <v>636940</v>
      </c>
      <c r="AC20" s="234">
        <v>0</v>
      </c>
      <c r="AD20" s="234">
        <v>129960000</v>
      </c>
      <c r="AE20" s="234">
        <v>79888183</v>
      </c>
      <c r="AF20" s="242">
        <v>210485123</v>
      </c>
      <c r="AG20" s="234">
        <v>8377561</v>
      </c>
      <c r="AH20" s="234">
        <v>0</v>
      </c>
      <c r="AI20" s="234">
        <v>795512</v>
      </c>
      <c r="AJ20" s="242">
        <v>9173073</v>
      </c>
      <c r="AK20" s="242">
        <v>219658196</v>
      </c>
      <c r="AL20" s="234">
        <v>-91495037</v>
      </c>
      <c r="AM20" s="234">
        <v>0</v>
      </c>
      <c r="AN20" s="234">
        <v>0</v>
      </c>
      <c r="AO20" s="242">
        <v>-91495037</v>
      </c>
      <c r="AP20" s="242">
        <v>128163159</v>
      </c>
      <c r="AQ20" s="234">
        <v>275047578</v>
      </c>
      <c r="AR20" s="234">
        <v>0</v>
      </c>
      <c r="AS20" s="234">
        <v>11021871</v>
      </c>
      <c r="AT20" s="234">
        <v>0</v>
      </c>
      <c r="AU20" s="234">
        <v>0</v>
      </c>
      <c r="AV20" s="234">
        <v>50150000</v>
      </c>
      <c r="AW20" s="242">
        <v>336219449</v>
      </c>
      <c r="AX20" s="234">
        <v>196957</v>
      </c>
      <c r="AY20" s="234">
        <v>250</v>
      </c>
      <c r="AZ20" s="234">
        <v>0</v>
      </c>
      <c r="BA20" s="234">
        <v>0</v>
      </c>
      <c r="BB20" s="234">
        <v>0</v>
      </c>
      <c r="BC20" s="242">
        <v>197207</v>
      </c>
      <c r="BD20" s="242">
        <v>336416656</v>
      </c>
      <c r="BE20" s="234">
        <v>204986401</v>
      </c>
      <c r="BF20" s="234">
        <v>0</v>
      </c>
      <c r="BG20" s="234">
        <v>1986928</v>
      </c>
      <c r="BH20" s="234">
        <v>1104605</v>
      </c>
      <c r="BI20" s="234">
        <v>10534356</v>
      </c>
      <c r="BJ20" s="234">
        <v>209298946</v>
      </c>
      <c r="BK20" s="234">
        <v>0</v>
      </c>
      <c r="BL20" s="242">
        <v>427911236</v>
      </c>
      <c r="BM20" s="242">
        <v>-91494580</v>
      </c>
      <c r="BN20" s="234">
        <v>0</v>
      </c>
      <c r="BO20" s="234">
        <v>0</v>
      </c>
      <c r="BP20" s="234">
        <v>-91494580</v>
      </c>
      <c r="BQ20" s="234">
        <v>0</v>
      </c>
      <c r="BR20" s="234">
        <v>0</v>
      </c>
      <c r="BS20" s="242">
        <v>-91494580</v>
      </c>
      <c r="BT20" s="243">
        <v>-0.27300000000000002</v>
      </c>
      <c r="BU20" s="243">
        <v>1E-3</v>
      </c>
      <c r="BV20" s="243">
        <v>-0.27200000000000002</v>
      </c>
      <c r="BW20" s="244">
        <v>0.4</v>
      </c>
      <c r="BX20" s="245">
        <v>80</v>
      </c>
      <c r="BY20" s="245">
        <v>180</v>
      </c>
      <c r="BZ20" s="246">
        <f t="shared" si="0"/>
        <v>-33.691880460449994</v>
      </c>
      <c r="CA20" s="247">
        <v>-0.40899999999999997</v>
      </c>
      <c r="CB20" s="247">
        <v>-0.71399999999999997</v>
      </c>
      <c r="CC20" s="248">
        <v>0</v>
      </c>
      <c r="CD20" s="249">
        <v>10</v>
      </c>
      <c r="CE20" s="247">
        <f t="shared" si="1"/>
        <v>-0.1007918118206573</v>
      </c>
      <c r="CF20" s="242">
        <v>-91494580</v>
      </c>
      <c r="CG20" s="243">
        <v>-0.27300000000000002</v>
      </c>
      <c r="CH20" s="243">
        <v>1E-3</v>
      </c>
      <c r="CI20" s="243">
        <v>-0.27200000000000002</v>
      </c>
    </row>
    <row r="21" spans="1:87" s="60" customFormat="1" ht="22.8" x14ac:dyDescent="0.3">
      <c r="A21" s="238">
        <v>8701</v>
      </c>
      <c r="B21" s="238" t="s">
        <v>692</v>
      </c>
      <c r="C21" s="238" t="s">
        <v>77</v>
      </c>
      <c r="D21" s="238">
        <v>14287</v>
      </c>
      <c r="E21" s="238">
        <v>2025</v>
      </c>
      <c r="F21" s="238" t="s">
        <v>275</v>
      </c>
      <c r="G21" s="238">
        <v>5</v>
      </c>
      <c r="H21" s="238">
        <v>12</v>
      </c>
      <c r="I21" s="238" t="s">
        <v>715</v>
      </c>
      <c r="J21" s="239">
        <v>34615642</v>
      </c>
      <c r="K21" s="239">
        <v>0</v>
      </c>
      <c r="L21" s="239">
        <v>0</v>
      </c>
      <c r="M21" s="239">
        <v>27333854</v>
      </c>
      <c r="N21" s="239">
        <v>79781804</v>
      </c>
      <c r="O21" s="239">
        <v>0</v>
      </c>
      <c r="P21" s="239">
        <v>12847313</v>
      </c>
      <c r="Q21" s="242">
        <v>154578613</v>
      </c>
      <c r="R21" s="239">
        <v>0</v>
      </c>
      <c r="S21" s="239">
        <v>0</v>
      </c>
      <c r="T21" s="239">
        <v>0</v>
      </c>
      <c r="U21" s="239">
        <v>0</v>
      </c>
      <c r="V21" s="239">
        <v>156425003</v>
      </c>
      <c r="W21" s="239">
        <v>5688354</v>
      </c>
      <c r="X21" s="242">
        <v>150736649</v>
      </c>
      <c r="Y21" s="239">
        <v>26295375</v>
      </c>
      <c r="Z21" s="242">
        <v>177032024</v>
      </c>
      <c r="AA21" s="242">
        <v>331610637</v>
      </c>
      <c r="AB21" s="239">
        <v>179746</v>
      </c>
      <c r="AC21" s="239">
        <v>0</v>
      </c>
      <c r="AD21" s="239">
        <v>125862000</v>
      </c>
      <c r="AE21" s="239">
        <v>93689544</v>
      </c>
      <c r="AF21" s="242">
        <v>219731290</v>
      </c>
      <c r="AG21" s="239">
        <v>11357943</v>
      </c>
      <c r="AH21" s="239">
        <v>0</v>
      </c>
      <c r="AI21" s="239">
        <v>187639</v>
      </c>
      <c r="AJ21" s="242">
        <v>11545582</v>
      </c>
      <c r="AK21" s="242">
        <v>231276872</v>
      </c>
      <c r="AL21" s="239">
        <v>100333765</v>
      </c>
      <c r="AM21" s="239">
        <v>0</v>
      </c>
      <c r="AN21" s="239">
        <v>0</v>
      </c>
      <c r="AO21" s="242">
        <v>100333765</v>
      </c>
      <c r="AP21" s="242">
        <v>331610637</v>
      </c>
      <c r="AQ21" s="239">
        <v>237368547</v>
      </c>
      <c r="AR21" s="239">
        <v>0</v>
      </c>
      <c r="AS21" s="239">
        <v>3403124</v>
      </c>
      <c r="AT21" s="239">
        <v>0</v>
      </c>
      <c r="AU21" s="239">
        <v>0</v>
      </c>
      <c r="AV21" s="239">
        <v>50150000</v>
      </c>
      <c r="AW21" s="242">
        <v>290921671</v>
      </c>
      <c r="AX21" s="239">
        <v>218647</v>
      </c>
      <c r="AY21" s="239">
        <v>0</v>
      </c>
      <c r="AZ21" s="239">
        <v>0</v>
      </c>
      <c r="BA21" s="239">
        <v>0</v>
      </c>
      <c r="BB21" s="239">
        <v>0</v>
      </c>
      <c r="BC21" s="242">
        <v>218647</v>
      </c>
      <c r="BD21" s="242">
        <v>291140318</v>
      </c>
      <c r="BE21" s="239">
        <v>149390689</v>
      </c>
      <c r="BF21" s="239">
        <v>0</v>
      </c>
      <c r="BG21" s="239">
        <v>6782643</v>
      </c>
      <c r="BH21" s="239">
        <v>825396</v>
      </c>
      <c r="BI21" s="239">
        <v>25173672</v>
      </c>
      <c r="BJ21" s="239">
        <v>145348713</v>
      </c>
      <c r="BK21" s="239">
        <v>0</v>
      </c>
      <c r="BL21" s="242">
        <v>327521113</v>
      </c>
      <c r="BM21" s="242">
        <v>-36380795</v>
      </c>
      <c r="BN21" s="239">
        <v>0</v>
      </c>
      <c r="BO21" s="239">
        <v>136714760</v>
      </c>
      <c r="BP21" s="239">
        <v>100333965</v>
      </c>
      <c r="BQ21" s="239">
        <v>0</v>
      </c>
      <c r="BR21" s="239">
        <v>0</v>
      </c>
      <c r="BS21" s="242">
        <v>100333965</v>
      </c>
      <c r="BT21" s="243">
        <v>-0.126</v>
      </c>
      <c r="BU21" s="243">
        <v>1E-3</v>
      </c>
      <c r="BV21" s="243">
        <v>-0.125</v>
      </c>
      <c r="BW21" s="244">
        <v>0.7</v>
      </c>
      <c r="BX21" s="245">
        <v>42</v>
      </c>
      <c r="BY21" s="245">
        <v>250</v>
      </c>
      <c r="BZ21" s="246">
        <f t="shared" si="0"/>
        <v>-4.1325981642220793</v>
      </c>
      <c r="CA21" s="247">
        <v>-0.128</v>
      </c>
      <c r="CB21" s="247">
        <v>0.30299999999999999</v>
      </c>
      <c r="CC21" s="248">
        <v>1</v>
      </c>
      <c r="CD21" s="249">
        <v>39</v>
      </c>
      <c r="CE21" s="247">
        <f t="shared" si="1"/>
        <v>0.10169011830314208</v>
      </c>
      <c r="CF21" s="242">
        <v>-36380795</v>
      </c>
      <c r="CG21" s="243">
        <v>-0.126</v>
      </c>
      <c r="CH21" s="243">
        <v>1E-3</v>
      </c>
      <c r="CI21" s="243">
        <v>-0.125</v>
      </c>
    </row>
    <row r="22" spans="1:87" s="60" customFormat="1" ht="22.8" hidden="1" x14ac:dyDescent="0.3">
      <c r="A22" s="238">
        <v>13198</v>
      </c>
      <c r="B22" s="238" t="s">
        <v>694</v>
      </c>
      <c r="C22" s="238" t="s">
        <v>83</v>
      </c>
      <c r="D22" s="238">
        <v>14287</v>
      </c>
      <c r="E22" s="238">
        <v>2025</v>
      </c>
      <c r="F22" s="238" t="s">
        <v>275</v>
      </c>
      <c r="G22" s="238">
        <v>5</v>
      </c>
      <c r="H22" s="238">
        <v>12</v>
      </c>
      <c r="I22" s="238" t="s">
        <v>715</v>
      </c>
      <c r="J22" s="239">
        <v>0</v>
      </c>
      <c r="K22" s="239">
        <v>0</v>
      </c>
      <c r="L22" s="239">
        <v>0</v>
      </c>
      <c r="M22" s="239">
        <v>0</v>
      </c>
      <c r="N22" s="239">
        <v>0</v>
      </c>
      <c r="O22" s="239">
        <v>0</v>
      </c>
      <c r="P22" s="239">
        <v>0</v>
      </c>
      <c r="Q22" s="242">
        <v>0</v>
      </c>
      <c r="R22" s="239">
        <v>0</v>
      </c>
      <c r="S22" s="239">
        <v>0</v>
      </c>
      <c r="T22" s="239">
        <v>0</v>
      </c>
      <c r="U22" s="239">
        <v>0</v>
      </c>
      <c r="V22" s="239">
        <v>0</v>
      </c>
      <c r="W22" s="239">
        <v>0</v>
      </c>
      <c r="X22" s="242">
        <v>0</v>
      </c>
      <c r="Y22" s="239">
        <v>0</v>
      </c>
      <c r="Z22" s="242">
        <v>0</v>
      </c>
      <c r="AA22" s="242">
        <v>0</v>
      </c>
      <c r="AB22" s="239">
        <v>0</v>
      </c>
      <c r="AC22" s="239">
        <v>0</v>
      </c>
      <c r="AD22" s="239">
        <v>0</v>
      </c>
      <c r="AE22" s="239">
        <v>0</v>
      </c>
      <c r="AF22" s="242">
        <v>0</v>
      </c>
      <c r="AG22" s="239">
        <v>0</v>
      </c>
      <c r="AH22" s="239">
        <v>0</v>
      </c>
      <c r="AI22" s="239">
        <v>0</v>
      </c>
      <c r="AJ22" s="242">
        <v>0</v>
      </c>
      <c r="AK22" s="242">
        <v>0</v>
      </c>
      <c r="AL22" s="239">
        <v>0</v>
      </c>
      <c r="AM22" s="239">
        <v>0</v>
      </c>
      <c r="AN22" s="239">
        <v>0</v>
      </c>
      <c r="AO22" s="242">
        <v>0</v>
      </c>
      <c r="AP22" s="242">
        <v>0</v>
      </c>
      <c r="AQ22" s="239">
        <v>76159181</v>
      </c>
      <c r="AR22" s="239">
        <v>0</v>
      </c>
      <c r="AS22" s="239">
        <v>124665238</v>
      </c>
      <c r="AT22" s="239">
        <v>0</v>
      </c>
      <c r="AU22" s="239">
        <v>0</v>
      </c>
      <c r="AV22" s="239">
        <v>0</v>
      </c>
      <c r="AW22" s="242">
        <v>200824419</v>
      </c>
      <c r="AX22" s="239">
        <v>0</v>
      </c>
      <c r="AY22" s="239">
        <v>0</v>
      </c>
      <c r="AZ22" s="239">
        <v>0</v>
      </c>
      <c r="BA22" s="239">
        <v>0</v>
      </c>
      <c r="BB22" s="239">
        <v>0</v>
      </c>
      <c r="BC22" s="242">
        <v>0</v>
      </c>
      <c r="BD22" s="242">
        <v>200824419</v>
      </c>
      <c r="BE22" s="239">
        <v>180987283</v>
      </c>
      <c r="BF22" s="239">
        <v>0</v>
      </c>
      <c r="BG22" s="239">
        <v>0</v>
      </c>
      <c r="BH22" s="239">
        <v>0</v>
      </c>
      <c r="BI22" s="239">
        <v>0</v>
      </c>
      <c r="BJ22" s="239">
        <v>20170159</v>
      </c>
      <c r="BK22" s="239">
        <v>0</v>
      </c>
      <c r="BL22" s="242">
        <v>201157442</v>
      </c>
      <c r="BM22" s="242">
        <v>-333023</v>
      </c>
      <c r="BN22" s="239">
        <v>0</v>
      </c>
      <c r="BO22" s="239">
        <v>0</v>
      </c>
      <c r="BP22" s="239">
        <v>-333023</v>
      </c>
      <c r="BQ22" s="239">
        <v>0</v>
      </c>
      <c r="BR22" s="239">
        <v>0</v>
      </c>
      <c r="BS22" s="242">
        <v>-333023</v>
      </c>
      <c r="BT22" s="243">
        <v>-2E-3</v>
      </c>
      <c r="BU22" s="243">
        <v>0</v>
      </c>
      <c r="BV22" s="243">
        <v>-2E-3</v>
      </c>
      <c r="BW22" s="244">
        <v>0</v>
      </c>
      <c r="BX22" s="245">
        <v>0</v>
      </c>
      <c r="BY22" s="245">
        <v>0</v>
      </c>
      <c r="BZ22" s="246" t="e">
        <f t="shared" si="0"/>
        <v>#DIV/0!</v>
      </c>
      <c r="CA22" s="247">
        <v>0</v>
      </c>
      <c r="CB22" s="247">
        <v>0</v>
      </c>
      <c r="CC22" s="248">
        <v>0</v>
      </c>
      <c r="CD22" s="249">
        <v>0</v>
      </c>
      <c r="CE22" s="247" t="e">
        <f t="shared" si="1"/>
        <v>#DIV/0!</v>
      </c>
      <c r="CF22" s="242">
        <v>-333023</v>
      </c>
      <c r="CG22" s="243">
        <v>-2E-3</v>
      </c>
      <c r="CH22" s="243">
        <v>0</v>
      </c>
      <c r="CI22" s="243">
        <v>-2E-3</v>
      </c>
    </row>
    <row r="23" spans="1:87" s="60" customFormat="1" ht="22.8" hidden="1" x14ac:dyDescent="0.3">
      <c r="A23" s="233">
        <v>14418</v>
      </c>
      <c r="B23" s="233" t="s">
        <v>120</v>
      </c>
      <c r="C23" s="233" t="s">
        <v>83</v>
      </c>
      <c r="D23" s="233">
        <v>14287</v>
      </c>
      <c r="E23" s="233">
        <v>2025</v>
      </c>
      <c r="F23" s="233" t="s">
        <v>275</v>
      </c>
      <c r="G23" s="233">
        <v>5</v>
      </c>
      <c r="H23" s="233">
        <v>12</v>
      </c>
      <c r="I23" s="233" t="s">
        <v>715</v>
      </c>
      <c r="J23" s="234">
        <v>0</v>
      </c>
      <c r="K23" s="234">
        <v>0</v>
      </c>
      <c r="L23" s="234">
        <v>0</v>
      </c>
      <c r="M23" s="234">
        <v>0</v>
      </c>
      <c r="N23" s="234">
        <v>0</v>
      </c>
      <c r="O23" s="234">
        <v>0</v>
      </c>
      <c r="P23" s="234">
        <v>0</v>
      </c>
      <c r="Q23" s="242">
        <v>0</v>
      </c>
      <c r="R23" s="234">
        <v>0</v>
      </c>
      <c r="S23" s="234">
        <v>0</v>
      </c>
      <c r="T23" s="234">
        <v>0</v>
      </c>
      <c r="U23" s="234">
        <v>0</v>
      </c>
      <c r="V23" s="234">
        <v>0</v>
      </c>
      <c r="W23" s="234">
        <v>0</v>
      </c>
      <c r="X23" s="242">
        <v>0</v>
      </c>
      <c r="Y23" s="234">
        <v>0</v>
      </c>
      <c r="Z23" s="242">
        <v>0</v>
      </c>
      <c r="AA23" s="242">
        <v>0</v>
      </c>
      <c r="AB23" s="234">
        <v>0</v>
      </c>
      <c r="AC23" s="234">
        <v>0</v>
      </c>
      <c r="AD23" s="234">
        <v>0</v>
      </c>
      <c r="AE23" s="234">
        <v>0</v>
      </c>
      <c r="AF23" s="242">
        <v>0</v>
      </c>
      <c r="AG23" s="234">
        <v>0</v>
      </c>
      <c r="AH23" s="234">
        <v>0</v>
      </c>
      <c r="AI23" s="234">
        <v>0</v>
      </c>
      <c r="AJ23" s="242">
        <v>0</v>
      </c>
      <c r="AK23" s="242">
        <v>0</v>
      </c>
      <c r="AL23" s="234">
        <v>0</v>
      </c>
      <c r="AM23" s="234">
        <v>0</v>
      </c>
      <c r="AN23" s="234">
        <v>0</v>
      </c>
      <c r="AO23" s="242">
        <v>0</v>
      </c>
      <c r="AP23" s="242">
        <v>0</v>
      </c>
      <c r="AQ23" s="234">
        <v>215619529</v>
      </c>
      <c r="AR23" s="234">
        <v>0</v>
      </c>
      <c r="AS23" s="234">
        <v>341327376</v>
      </c>
      <c r="AT23" s="234">
        <v>0</v>
      </c>
      <c r="AU23" s="234">
        <v>0</v>
      </c>
      <c r="AV23" s="234">
        <v>0</v>
      </c>
      <c r="AW23" s="242">
        <v>556946905</v>
      </c>
      <c r="AX23" s="234">
        <v>6649138</v>
      </c>
      <c r="AY23" s="234">
        <v>0</v>
      </c>
      <c r="AZ23" s="234">
        <v>-1060834</v>
      </c>
      <c r="BA23" s="234">
        <v>-18079</v>
      </c>
      <c r="BB23" s="234">
        <v>0</v>
      </c>
      <c r="BC23" s="242">
        <v>5570225</v>
      </c>
      <c r="BD23" s="242">
        <v>562517130</v>
      </c>
      <c r="BE23" s="234">
        <v>500146954</v>
      </c>
      <c r="BF23" s="234">
        <v>0</v>
      </c>
      <c r="BG23" s="234">
        <v>571916</v>
      </c>
      <c r="BH23" s="234">
        <v>12039</v>
      </c>
      <c r="BI23" s="234">
        <v>0</v>
      </c>
      <c r="BJ23" s="234">
        <v>71632610</v>
      </c>
      <c r="BK23" s="234">
        <v>0</v>
      </c>
      <c r="BL23" s="242">
        <v>572363519</v>
      </c>
      <c r="BM23" s="242">
        <v>-9846389</v>
      </c>
      <c r="BN23" s="234">
        <v>16331104</v>
      </c>
      <c r="BO23" s="234">
        <v>-4229000</v>
      </c>
      <c r="BP23" s="234">
        <v>2255715</v>
      </c>
      <c r="BQ23" s="234">
        <v>0</v>
      </c>
      <c r="BR23" s="234">
        <v>0</v>
      </c>
      <c r="BS23" s="242">
        <v>2255715</v>
      </c>
      <c r="BT23" s="243">
        <v>-2.7E-2</v>
      </c>
      <c r="BU23" s="243">
        <v>0.01</v>
      </c>
      <c r="BV23" s="243">
        <v>-1.7999999999999999E-2</v>
      </c>
      <c r="BW23" s="244">
        <v>0</v>
      </c>
      <c r="BX23" s="245">
        <v>0</v>
      </c>
      <c r="BY23" s="245">
        <v>0</v>
      </c>
      <c r="BZ23" s="246">
        <f t="shared" si="0"/>
        <v>-14.340567495925976</v>
      </c>
      <c r="CA23" s="247">
        <v>0</v>
      </c>
      <c r="CB23" s="247">
        <v>0</v>
      </c>
      <c r="CC23" s="248">
        <v>0</v>
      </c>
      <c r="CD23" s="249">
        <v>0</v>
      </c>
      <c r="CE23" s="247" t="e">
        <f t="shared" si="1"/>
        <v>#DIV/0!</v>
      </c>
      <c r="CF23" s="242">
        <v>-9846389</v>
      </c>
      <c r="CG23" s="243">
        <v>-2.7E-2</v>
      </c>
      <c r="CH23" s="243">
        <v>0.01</v>
      </c>
      <c r="CI23" s="243">
        <v>-1.7999999999999999E-2</v>
      </c>
    </row>
    <row r="24" spans="1:87" s="60" customFormat="1" ht="22.8" x14ac:dyDescent="0.3">
      <c r="A24" s="238">
        <v>46</v>
      </c>
      <c r="B24" s="238" t="s">
        <v>115</v>
      </c>
      <c r="C24" s="238" t="s">
        <v>77</v>
      </c>
      <c r="D24" s="238">
        <v>14286</v>
      </c>
      <c r="E24" s="238">
        <v>2025</v>
      </c>
      <c r="F24" s="238" t="s">
        <v>275</v>
      </c>
      <c r="G24" s="238">
        <v>5</v>
      </c>
      <c r="H24" s="238">
        <v>12</v>
      </c>
      <c r="I24" s="238" t="s">
        <v>715</v>
      </c>
      <c r="J24" s="239">
        <v>484000</v>
      </c>
      <c r="K24" s="239">
        <v>0</v>
      </c>
      <c r="L24" s="239">
        <v>0</v>
      </c>
      <c r="M24" s="239">
        <v>427560000</v>
      </c>
      <c r="N24" s="239">
        <v>2546763000</v>
      </c>
      <c r="O24" s="239">
        <v>0</v>
      </c>
      <c r="P24" s="239">
        <v>368841000</v>
      </c>
      <c r="Q24" s="242">
        <v>3343648000</v>
      </c>
      <c r="R24" s="239">
        <v>2101982000</v>
      </c>
      <c r="S24" s="239">
        <v>79376000</v>
      </c>
      <c r="T24" s="239">
        <v>0</v>
      </c>
      <c r="U24" s="239">
        <v>0</v>
      </c>
      <c r="V24" s="239">
        <v>5742829000</v>
      </c>
      <c r="W24" s="239">
        <v>2819714000</v>
      </c>
      <c r="X24" s="242">
        <v>2923115000</v>
      </c>
      <c r="Y24" s="239">
        <v>637345000</v>
      </c>
      <c r="Z24" s="242">
        <v>5741818000</v>
      </c>
      <c r="AA24" s="242">
        <v>9085466000</v>
      </c>
      <c r="AB24" s="239">
        <v>0</v>
      </c>
      <c r="AC24" s="239">
        <v>21574000</v>
      </c>
      <c r="AD24" s="239">
        <v>0</v>
      </c>
      <c r="AE24" s="239">
        <v>673383000</v>
      </c>
      <c r="AF24" s="242">
        <v>694957000</v>
      </c>
      <c r="AG24" s="239">
        <v>2006682000</v>
      </c>
      <c r="AH24" s="239">
        <v>0</v>
      </c>
      <c r="AI24" s="239">
        <v>750567000</v>
      </c>
      <c r="AJ24" s="242">
        <v>2757249000</v>
      </c>
      <c r="AK24" s="242">
        <v>3452206000</v>
      </c>
      <c r="AL24" s="239">
        <v>3195377000</v>
      </c>
      <c r="AM24" s="239">
        <v>1293456000</v>
      </c>
      <c r="AN24" s="239">
        <v>1144427000</v>
      </c>
      <c r="AO24" s="242">
        <v>5633260000</v>
      </c>
      <c r="AP24" s="242">
        <v>9085466000</v>
      </c>
      <c r="AQ24" s="239">
        <v>2321231000</v>
      </c>
      <c r="AR24" s="239">
        <v>0</v>
      </c>
      <c r="AS24" s="239">
        <v>741409000</v>
      </c>
      <c r="AT24" s="239">
        <v>0</v>
      </c>
      <c r="AU24" s="239">
        <v>0</v>
      </c>
      <c r="AV24" s="239">
        <v>119649000</v>
      </c>
      <c r="AW24" s="242">
        <v>3182289000</v>
      </c>
      <c r="AX24" s="239">
        <v>78072000</v>
      </c>
      <c r="AY24" s="239">
        <v>20685000</v>
      </c>
      <c r="AZ24" s="239">
        <v>-167000</v>
      </c>
      <c r="BA24" s="239">
        <v>-38884000</v>
      </c>
      <c r="BB24" s="239">
        <v>7017000</v>
      </c>
      <c r="BC24" s="242">
        <v>66723000</v>
      </c>
      <c r="BD24" s="242">
        <v>3249012000</v>
      </c>
      <c r="BE24" s="239">
        <v>1347294000</v>
      </c>
      <c r="BF24" s="239">
        <v>0</v>
      </c>
      <c r="BG24" s="239">
        <v>206747000</v>
      </c>
      <c r="BH24" s="239">
        <v>50284000</v>
      </c>
      <c r="BI24" s="239">
        <v>72548000</v>
      </c>
      <c r="BJ24" s="239">
        <v>1508108000</v>
      </c>
      <c r="BK24" s="239">
        <v>0</v>
      </c>
      <c r="BL24" s="242">
        <v>3184981000</v>
      </c>
      <c r="BM24" s="242">
        <v>64031000</v>
      </c>
      <c r="BN24" s="239">
        <v>25008000</v>
      </c>
      <c r="BO24" s="239">
        <v>12621000</v>
      </c>
      <c r="BP24" s="239">
        <v>101660000</v>
      </c>
      <c r="BQ24" s="239">
        <v>-101000</v>
      </c>
      <c r="BR24" s="239">
        <v>0</v>
      </c>
      <c r="BS24" s="242">
        <v>101559000</v>
      </c>
      <c r="BT24" s="243">
        <v>-1E-3</v>
      </c>
      <c r="BU24" s="243">
        <v>2.1000000000000001E-2</v>
      </c>
      <c r="BV24" s="243">
        <v>0.02</v>
      </c>
      <c r="BW24" s="244">
        <v>4.8</v>
      </c>
      <c r="BX24" s="245">
        <v>67</v>
      </c>
      <c r="BY24" s="245">
        <v>83</v>
      </c>
      <c r="BZ24" s="246">
        <f t="shared" si="0"/>
        <v>1.55372992111131</v>
      </c>
      <c r="CA24" s="247">
        <v>0.1</v>
      </c>
      <c r="CB24" s="247">
        <v>0.62</v>
      </c>
      <c r="CC24" s="248">
        <v>14</v>
      </c>
      <c r="CD24" s="249">
        <v>0</v>
      </c>
      <c r="CE24" s="247">
        <f t="shared" si="1"/>
        <v>0.38574764338505196</v>
      </c>
      <c r="CF24" s="242">
        <v>64031000</v>
      </c>
      <c r="CG24" s="243">
        <v>-1E-3</v>
      </c>
      <c r="CH24" s="243">
        <v>2.1000000000000001E-2</v>
      </c>
      <c r="CI24" s="243">
        <v>0.02</v>
      </c>
    </row>
    <row r="25" spans="1:87" s="60" customFormat="1" ht="22.8" hidden="1" x14ac:dyDescent="0.3">
      <c r="A25" s="233">
        <v>14286</v>
      </c>
      <c r="B25" s="233" t="s">
        <v>113</v>
      </c>
      <c r="C25" s="233" t="s">
        <v>75</v>
      </c>
      <c r="D25" s="233">
        <v>14286</v>
      </c>
      <c r="E25" s="233">
        <v>2025</v>
      </c>
      <c r="F25" s="233" t="s">
        <v>275</v>
      </c>
      <c r="G25" s="233">
        <v>5</v>
      </c>
      <c r="H25" s="233">
        <v>12</v>
      </c>
      <c r="I25" s="233" t="s">
        <v>715</v>
      </c>
      <c r="J25" s="234">
        <v>278869000</v>
      </c>
      <c r="K25" s="234">
        <v>0</v>
      </c>
      <c r="L25" s="234">
        <v>0</v>
      </c>
      <c r="M25" s="234">
        <v>587121000</v>
      </c>
      <c r="N25" s="234">
        <v>0</v>
      </c>
      <c r="O25" s="234">
        <v>0</v>
      </c>
      <c r="P25" s="234">
        <v>329255000</v>
      </c>
      <c r="Q25" s="242">
        <v>1195245000</v>
      </c>
      <c r="R25" s="234">
        <v>3571045000</v>
      </c>
      <c r="S25" s="234">
        <v>82621000</v>
      </c>
      <c r="T25" s="234">
        <v>0</v>
      </c>
      <c r="U25" s="234">
        <v>0</v>
      </c>
      <c r="V25" s="234">
        <v>6425087000</v>
      </c>
      <c r="W25" s="234">
        <v>293102000</v>
      </c>
      <c r="X25" s="242">
        <v>6131985000</v>
      </c>
      <c r="Y25" s="234">
        <v>4877314000</v>
      </c>
      <c r="Z25" s="242">
        <v>14662965000</v>
      </c>
      <c r="AA25" s="242">
        <v>15858210000</v>
      </c>
      <c r="AB25" s="234">
        <v>335000</v>
      </c>
      <c r="AC25" s="234">
        <v>21474000</v>
      </c>
      <c r="AD25" s="234">
        <v>0</v>
      </c>
      <c r="AE25" s="234">
        <v>794803000</v>
      </c>
      <c r="AF25" s="242">
        <v>816612000</v>
      </c>
      <c r="AG25" s="234">
        <v>2044603000</v>
      </c>
      <c r="AH25" s="234">
        <v>0</v>
      </c>
      <c r="AI25" s="234">
        <v>1067537000</v>
      </c>
      <c r="AJ25" s="242">
        <v>3112140000</v>
      </c>
      <c r="AK25" s="242">
        <v>3928752000</v>
      </c>
      <c r="AL25" s="234">
        <v>8367630000</v>
      </c>
      <c r="AM25" s="234">
        <v>576348000</v>
      </c>
      <c r="AN25" s="234">
        <v>355480000</v>
      </c>
      <c r="AO25" s="242">
        <v>9299458000</v>
      </c>
      <c r="AP25" s="242">
        <v>13228210000</v>
      </c>
      <c r="AQ25" s="234">
        <v>3659207000</v>
      </c>
      <c r="AR25" s="234">
        <v>0</v>
      </c>
      <c r="AS25" s="234">
        <v>725958000</v>
      </c>
      <c r="AT25" s="234">
        <v>0</v>
      </c>
      <c r="AU25" s="234">
        <v>0</v>
      </c>
      <c r="AV25" s="234">
        <v>91154000</v>
      </c>
      <c r="AW25" s="242">
        <v>4476319000</v>
      </c>
      <c r="AX25" s="234">
        <v>410277000</v>
      </c>
      <c r="AY25" s="234">
        <v>21414000</v>
      </c>
      <c r="AZ25" s="234">
        <v>29359000</v>
      </c>
      <c r="BA25" s="234">
        <v>-35532000</v>
      </c>
      <c r="BB25" s="234">
        <v>292230000</v>
      </c>
      <c r="BC25" s="242">
        <v>717748000</v>
      </c>
      <c r="BD25" s="242">
        <v>5194067000</v>
      </c>
      <c r="BE25" s="234">
        <v>2575272000</v>
      </c>
      <c r="BF25" s="234">
        <v>0</v>
      </c>
      <c r="BG25" s="234">
        <v>214189000</v>
      </c>
      <c r="BH25" s="234">
        <v>35468000</v>
      </c>
      <c r="BI25" s="234">
        <v>73561000</v>
      </c>
      <c r="BJ25" s="234">
        <v>1590909000</v>
      </c>
      <c r="BK25" s="234">
        <v>0</v>
      </c>
      <c r="BL25" s="242">
        <v>4489399000</v>
      </c>
      <c r="BM25" s="242">
        <v>704668000</v>
      </c>
      <c r="BN25" s="234">
        <v>0</v>
      </c>
      <c r="BO25" s="234">
        <v>12635000</v>
      </c>
      <c r="BP25" s="234">
        <v>717303000</v>
      </c>
      <c r="BQ25" s="234">
        <v>21349000</v>
      </c>
      <c r="BR25" s="234">
        <v>0</v>
      </c>
      <c r="BS25" s="242">
        <v>738652000</v>
      </c>
      <c r="BT25" s="243">
        <v>-3.0000000000000001E-3</v>
      </c>
      <c r="BU25" s="243">
        <v>0.13800000000000001</v>
      </c>
      <c r="BV25" s="243">
        <v>0.13600000000000001</v>
      </c>
      <c r="BW25" s="244">
        <v>1.5</v>
      </c>
      <c r="BX25" s="245">
        <v>59</v>
      </c>
      <c r="BY25" s="245">
        <v>68</v>
      </c>
      <c r="BZ25" s="246">
        <f t="shared" si="0"/>
        <v>4.3117133747273035</v>
      </c>
      <c r="CA25" s="247">
        <v>0.32100000000000001</v>
      </c>
      <c r="CB25" s="247">
        <v>0.58599999999999997</v>
      </c>
      <c r="CC25" s="248">
        <v>1</v>
      </c>
      <c r="CD25" s="249">
        <v>24</v>
      </c>
      <c r="CE25" s="247">
        <f t="shared" si="1"/>
        <v>0.19636546742663175</v>
      </c>
      <c r="CF25" s="242">
        <v>704668000</v>
      </c>
      <c r="CG25" s="243">
        <v>-3.0000000000000001E-3</v>
      </c>
      <c r="CH25" s="243">
        <v>0.13800000000000001</v>
      </c>
      <c r="CI25" s="243">
        <v>0.13600000000000001</v>
      </c>
    </row>
    <row r="26" spans="1:87" s="60" customFormat="1" ht="22.8" x14ac:dyDescent="0.3">
      <c r="A26" s="233">
        <v>3107</v>
      </c>
      <c r="B26" s="233" t="s">
        <v>118</v>
      </c>
      <c r="C26" s="233" t="s">
        <v>77</v>
      </c>
      <c r="D26" s="233">
        <v>14287</v>
      </c>
      <c r="E26" s="233">
        <v>2025</v>
      </c>
      <c r="F26" s="233" t="s">
        <v>275</v>
      </c>
      <c r="G26" s="233">
        <v>5</v>
      </c>
      <c r="H26" s="233">
        <v>12</v>
      </c>
      <c r="I26" s="233" t="s">
        <v>715</v>
      </c>
      <c r="J26" s="234">
        <v>147693579</v>
      </c>
      <c r="K26" s="234">
        <v>0</v>
      </c>
      <c r="L26" s="234">
        <v>11865159</v>
      </c>
      <c r="M26" s="234">
        <v>189952957</v>
      </c>
      <c r="N26" s="234">
        <v>296037649</v>
      </c>
      <c r="O26" s="234">
        <v>5715291</v>
      </c>
      <c r="P26" s="234">
        <v>298497370</v>
      </c>
      <c r="Q26" s="242">
        <v>949762005</v>
      </c>
      <c r="R26" s="234">
        <v>1017025859</v>
      </c>
      <c r="S26" s="234">
        <v>11245039</v>
      </c>
      <c r="T26" s="234">
        <v>0</v>
      </c>
      <c r="U26" s="234">
        <v>0</v>
      </c>
      <c r="V26" s="234">
        <v>2316615654</v>
      </c>
      <c r="W26" s="234">
        <v>1284766395</v>
      </c>
      <c r="X26" s="242">
        <v>1031849259</v>
      </c>
      <c r="Y26" s="234">
        <v>122128063</v>
      </c>
      <c r="Z26" s="242">
        <v>2182248220</v>
      </c>
      <c r="AA26" s="242">
        <v>3132010225</v>
      </c>
      <c r="AB26" s="234">
        <v>8477235</v>
      </c>
      <c r="AC26" s="234">
        <v>0</v>
      </c>
      <c r="AD26" s="234">
        <v>147078377</v>
      </c>
      <c r="AE26" s="234">
        <v>451474822</v>
      </c>
      <c r="AF26" s="242">
        <v>607030434</v>
      </c>
      <c r="AG26" s="234">
        <v>866454823</v>
      </c>
      <c r="AH26" s="234">
        <v>0</v>
      </c>
      <c r="AI26" s="234">
        <v>198505876</v>
      </c>
      <c r="AJ26" s="242">
        <v>1064960699</v>
      </c>
      <c r="AK26" s="242">
        <v>1671991133</v>
      </c>
      <c r="AL26" s="234">
        <v>1026706725</v>
      </c>
      <c r="AM26" s="234">
        <v>0</v>
      </c>
      <c r="AN26" s="234">
        <v>433312367</v>
      </c>
      <c r="AO26" s="242">
        <v>1460019092</v>
      </c>
      <c r="AP26" s="242">
        <v>3132010225</v>
      </c>
      <c r="AQ26" s="234">
        <v>1735839872</v>
      </c>
      <c r="AR26" s="234">
        <v>0</v>
      </c>
      <c r="AS26" s="234">
        <v>1185027822</v>
      </c>
      <c r="AT26" s="234">
        <v>0</v>
      </c>
      <c r="AU26" s="234">
        <v>0</v>
      </c>
      <c r="AV26" s="234">
        <v>32770637</v>
      </c>
      <c r="AW26" s="242">
        <v>2953638331</v>
      </c>
      <c r="AX26" s="234">
        <v>33996830</v>
      </c>
      <c r="AY26" s="234">
        <v>7714844</v>
      </c>
      <c r="AZ26" s="234">
        <v>13393423</v>
      </c>
      <c r="BA26" s="234">
        <v>1861800</v>
      </c>
      <c r="BB26" s="234">
        <v>0</v>
      </c>
      <c r="BC26" s="242">
        <v>56966897</v>
      </c>
      <c r="BD26" s="242">
        <v>3010605228</v>
      </c>
      <c r="BE26" s="234">
        <v>998636427</v>
      </c>
      <c r="BF26" s="234">
        <v>0</v>
      </c>
      <c r="BG26" s="234">
        <v>110982172</v>
      </c>
      <c r="BH26" s="234">
        <v>27053676</v>
      </c>
      <c r="BI26" s="234">
        <v>105077253</v>
      </c>
      <c r="BJ26" s="234">
        <v>1750351243</v>
      </c>
      <c r="BK26" s="234">
        <v>0</v>
      </c>
      <c r="BL26" s="242">
        <v>2992100771</v>
      </c>
      <c r="BM26" s="242">
        <v>18504457</v>
      </c>
      <c r="BN26" s="234">
        <v>-16331104</v>
      </c>
      <c r="BO26" s="234">
        <v>3497073</v>
      </c>
      <c r="BP26" s="234">
        <v>5670426</v>
      </c>
      <c r="BQ26" s="234">
        <v>-593485</v>
      </c>
      <c r="BR26" s="234">
        <v>0</v>
      </c>
      <c r="BS26" s="242">
        <v>5076941</v>
      </c>
      <c r="BT26" s="243">
        <v>-1.2999999999999999E-2</v>
      </c>
      <c r="BU26" s="243">
        <v>1.9E-2</v>
      </c>
      <c r="BV26" s="243">
        <v>6.0000000000000001E-3</v>
      </c>
      <c r="BW26" s="244">
        <v>1.6</v>
      </c>
      <c r="BX26" s="245">
        <v>40</v>
      </c>
      <c r="BY26" s="245">
        <v>77</v>
      </c>
      <c r="BZ26" s="246">
        <f t="shared" si="0"/>
        <v>1.1982889049499468</v>
      </c>
      <c r="CA26" s="247">
        <v>7.9000000000000001E-2</v>
      </c>
      <c r="CB26" s="247">
        <v>0.46600000000000003</v>
      </c>
      <c r="CC26" s="248">
        <v>12</v>
      </c>
      <c r="CD26" s="249">
        <v>19</v>
      </c>
      <c r="CE26" s="247">
        <f t="shared" si="1"/>
        <v>0.45767611534015795</v>
      </c>
      <c r="CF26" s="242">
        <v>18504457</v>
      </c>
      <c r="CG26" s="243">
        <v>-1.2999999999999999E-2</v>
      </c>
      <c r="CH26" s="243">
        <v>1.9E-2</v>
      </c>
      <c r="CI26" s="243">
        <v>6.0000000000000001E-3</v>
      </c>
    </row>
    <row r="27" spans="1:87" s="60" customFormat="1" ht="22.8" hidden="1" x14ac:dyDescent="0.3">
      <c r="A27" s="238">
        <v>14287</v>
      </c>
      <c r="B27" s="238" t="s">
        <v>117</v>
      </c>
      <c r="C27" s="238" t="s">
        <v>75</v>
      </c>
      <c r="D27" s="238">
        <v>14287</v>
      </c>
      <c r="E27" s="238">
        <v>2025</v>
      </c>
      <c r="F27" s="238" t="s">
        <v>275</v>
      </c>
      <c r="G27" s="238">
        <v>5</v>
      </c>
      <c r="H27" s="238">
        <v>12</v>
      </c>
      <c r="I27" s="238" t="s">
        <v>715</v>
      </c>
      <c r="J27" s="239">
        <v>468998961</v>
      </c>
      <c r="K27" s="239">
        <v>230000000</v>
      </c>
      <c r="L27" s="239">
        <v>11865159</v>
      </c>
      <c r="M27" s="239">
        <v>280457042</v>
      </c>
      <c r="N27" s="239">
        <v>0</v>
      </c>
      <c r="O27" s="239">
        <v>5715291</v>
      </c>
      <c r="P27" s="239">
        <v>1204314338</v>
      </c>
      <c r="Q27" s="242">
        <v>2201350791</v>
      </c>
      <c r="R27" s="239">
        <v>1019751196</v>
      </c>
      <c r="S27" s="239">
        <v>11245039</v>
      </c>
      <c r="T27" s="239">
        <v>0</v>
      </c>
      <c r="U27" s="239">
        <v>0</v>
      </c>
      <c r="V27" s="239">
        <v>2559971927</v>
      </c>
      <c r="W27" s="239">
        <v>1330259697</v>
      </c>
      <c r="X27" s="242">
        <v>1229712230</v>
      </c>
      <c r="Y27" s="239">
        <v>574111332</v>
      </c>
      <c r="Z27" s="242">
        <v>2834819797</v>
      </c>
      <c r="AA27" s="242">
        <v>5036170588</v>
      </c>
      <c r="AB27" s="239">
        <v>9341459</v>
      </c>
      <c r="AC27" s="239">
        <v>0</v>
      </c>
      <c r="AD27" s="239">
        <v>0</v>
      </c>
      <c r="AE27" s="239">
        <v>1691151063</v>
      </c>
      <c r="AF27" s="242">
        <v>1700492522</v>
      </c>
      <c r="AG27" s="239">
        <v>894642089</v>
      </c>
      <c r="AH27" s="239">
        <v>0</v>
      </c>
      <c r="AI27" s="239">
        <v>205506257</v>
      </c>
      <c r="AJ27" s="242">
        <v>1100148346</v>
      </c>
      <c r="AK27" s="242">
        <v>2800640868</v>
      </c>
      <c r="AL27" s="239">
        <v>1802217353</v>
      </c>
      <c r="AM27" s="239">
        <v>0</v>
      </c>
      <c r="AN27" s="239">
        <v>433312367</v>
      </c>
      <c r="AO27" s="242">
        <v>2235529720</v>
      </c>
      <c r="AP27" s="242">
        <v>5036170588</v>
      </c>
      <c r="AQ27" s="239">
        <v>2190323339</v>
      </c>
      <c r="AR27" s="239">
        <v>0</v>
      </c>
      <c r="AS27" s="239">
        <v>6499164500</v>
      </c>
      <c r="AT27" s="239">
        <v>0</v>
      </c>
      <c r="AU27" s="239">
        <v>0</v>
      </c>
      <c r="AV27" s="239">
        <v>133070637</v>
      </c>
      <c r="AW27" s="242">
        <v>8822558476</v>
      </c>
      <c r="AX27" s="239">
        <v>95051606</v>
      </c>
      <c r="AY27" s="239">
        <v>7715094</v>
      </c>
      <c r="AZ27" s="239">
        <v>-1943845</v>
      </c>
      <c r="BA27" s="239">
        <v>1843721</v>
      </c>
      <c r="BB27" s="239">
        <v>0</v>
      </c>
      <c r="BC27" s="242">
        <v>102666576</v>
      </c>
      <c r="BD27" s="242">
        <v>8925225052</v>
      </c>
      <c r="BE27" s="239">
        <v>2346759944</v>
      </c>
      <c r="BF27" s="239">
        <v>0</v>
      </c>
      <c r="BG27" s="239">
        <v>126592936</v>
      </c>
      <c r="BH27" s="239">
        <v>24052663</v>
      </c>
      <c r="BI27" s="239">
        <v>140785281</v>
      </c>
      <c r="BJ27" s="239">
        <v>6431458813</v>
      </c>
      <c r="BK27" s="239">
        <v>0</v>
      </c>
      <c r="BL27" s="242">
        <v>9069649637</v>
      </c>
      <c r="BM27" s="242">
        <v>-144424585</v>
      </c>
      <c r="BN27" s="239">
        <v>0</v>
      </c>
      <c r="BO27" s="239">
        <v>135982833</v>
      </c>
      <c r="BP27" s="239">
        <v>-8441752</v>
      </c>
      <c r="BQ27" s="239">
        <v>-593485</v>
      </c>
      <c r="BR27" s="239">
        <v>0</v>
      </c>
      <c r="BS27" s="242">
        <v>-9035237</v>
      </c>
      <c r="BT27" s="243">
        <v>-2.8000000000000001E-2</v>
      </c>
      <c r="BU27" s="243">
        <v>1.2E-2</v>
      </c>
      <c r="BV27" s="243">
        <v>-1.6E-2</v>
      </c>
      <c r="BW27" s="244">
        <v>1.3</v>
      </c>
      <c r="BX27" s="245">
        <v>47</v>
      </c>
      <c r="BY27" s="245">
        <v>69</v>
      </c>
      <c r="BZ27" s="246">
        <f t="shared" si="0"/>
        <v>6.0064702535366415E-2</v>
      </c>
      <c r="CA27" s="247">
        <v>-6.0000000000000001E-3</v>
      </c>
      <c r="CB27" s="247">
        <v>0.44400000000000001</v>
      </c>
      <c r="CC27" s="248">
        <v>11</v>
      </c>
      <c r="CD27" s="249">
        <v>29</v>
      </c>
      <c r="CE27" s="247">
        <f t="shared" si="1"/>
        <v>0.33173478567964609</v>
      </c>
      <c r="CF27" s="242">
        <v>-144424585</v>
      </c>
      <c r="CG27" s="243">
        <v>-2.8000000000000001E-2</v>
      </c>
      <c r="CH27" s="243">
        <v>1.2E-2</v>
      </c>
      <c r="CI27" s="243">
        <v>-1.6E-2</v>
      </c>
    </row>
    <row r="28" spans="1:87" s="60" customFormat="1" ht="22.8" x14ac:dyDescent="0.3">
      <c r="A28" s="233">
        <v>59</v>
      </c>
      <c r="B28" s="233" t="s">
        <v>142</v>
      </c>
      <c r="C28" s="233" t="s">
        <v>77</v>
      </c>
      <c r="D28" s="233">
        <v>3791</v>
      </c>
      <c r="E28" s="233">
        <v>2025</v>
      </c>
      <c r="F28" s="233" t="s">
        <v>275</v>
      </c>
      <c r="G28" s="233">
        <v>5</v>
      </c>
      <c r="H28" s="233">
        <v>12</v>
      </c>
      <c r="I28" s="233" t="s">
        <v>715</v>
      </c>
      <c r="J28" s="234">
        <v>18046000</v>
      </c>
      <c r="K28" s="234">
        <v>-5255000</v>
      </c>
      <c r="L28" s="234">
        <v>0</v>
      </c>
      <c r="M28" s="234">
        <v>45928000</v>
      </c>
      <c r="N28" s="234">
        <v>11343000</v>
      </c>
      <c r="O28" s="234">
        <v>1222000</v>
      </c>
      <c r="P28" s="234">
        <v>6063000</v>
      </c>
      <c r="Q28" s="242">
        <v>77347000</v>
      </c>
      <c r="R28" s="234">
        <v>14128000</v>
      </c>
      <c r="S28" s="234">
        <v>1171000</v>
      </c>
      <c r="T28" s="234">
        <v>0</v>
      </c>
      <c r="U28" s="234">
        <v>0</v>
      </c>
      <c r="V28" s="234">
        <v>556334000</v>
      </c>
      <c r="W28" s="234">
        <v>191854000</v>
      </c>
      <c r="X28" s="242">
        <v>364480000</v>
      </c>
      <c r="Y28" s="234">
        <v>10334000</v>
      </c>
      <c r="Z28" s="242">
        <v>390113000</v>
      </c>
      <c r="AA28" s="242">
        <v>467460000</v>
      </c>
      <c r="AB28" s="234">
        <v>11609000</v>
      </c>
      <c r="AC28" s="234">
        <v>1589000</v>
      </c>
      <c r="AD28" s="234">
        <v>21805000</v>
      </c>
      <c r="AE28" s="234">
        <v>38695000</v>
      </c>
      <c r="AF28" s="242">
        <v>73698000</v>
      </c>
      <c r="AG28" s="234">
        <v>253567000</v>
      </c>
      <c r="AH28" s="234">
        <v>0</v>
      </c>
      <c r="AI28" s="234">
        <v>4119000</v>
      </c>
      <c r="AJ28" s="242">
        <v>257686000</v>
      </c>
      <c r="AK28" s="242">
        <v>331384000</v>
      </c>
      <c r="AL28" s="234">
        <v>126893000</v>
      </c>
      <c r="AM28" s="234">
        <v>9183000</v>
      </c>
      <c r="AN28" s="234">
        <v>0</v>
      </c>
      <c r="AO28" s="242">
        <v>136076000</v>
      </c>
      <c r="AP28" s="242">
        <v>467460000</v>
      </c>
      <c r="AQ28" s="234">
        <v>415663000</v>
      </c>
      <c r="AR28" s="234">
        <v>0</v>
      </c>
      <c r="AS28" s="234">
        <v>9133000</v>
      </c>
      <c r="AT28" s="234">
        <v>0</v>
      </c>
      <c r="AU28" s="234">
        <v>0</v>
      </c>
      <c r="AV28" s="234">
        <v>0</v>
      </c>
      <c r="AW28" s="242">
        <v>424796000</v>
      </c>
      <c r="AX28" s="234">
        <v>2393000</v>
      </c>
      <c r="AY28" s="234">
        <v>0</v>
      </c>
      <c r="AZ28" s="234">
        <v>646000</v>
      </c>
      <c r="BA28" s="234">
        <v>0</v>
      </c>
      <c r="BB28" s="234">
        <v>-1936000</v>
      </c>
      <c r="BC28" s="242">
        <v>1103000</v>
      </c>
      <c r="BD28" s="242">
        <v>425899000</v>
      </c>
      <c r="BE28" s="234">
        <v>209988000</v>
      </c>
      <c r="BF28" s="234">
        <v>0</v>
      </c>
      <c r="BG28" s="234">
        <v>20020000</v>
      </c>
      <c r="BH28" s="234">
        <v>7449000</v>
      </c>
      <c r="BI28" s="234">
        <v>2026000</v>
      </c>
      <c r="BJ28" s="234">
        <v>195515000</v>
      </c>
      <c r="BK28" s="234">
        <v>0</v>
      </c>
      <c r="BL28" s="242">
        <v>434998000</v>
      </c>
      <c r="BM28" s="242">
        <v>-9099000</v>
      </c>
      <c r="BN28" s="234">
        <v>24793000</v>
      </c>
      <c r="BO28" s="234">
        <v>172000</v>
      </c>
      <c r="BP28" s="234">
        <v>15866000</v>
      </c>
      <c r="BQ28" s="234">
        <v>1121000</v>
      </c>
      <c r="BR28" s="234">
        <v>0</v>
      </c>
      <c r="BS28" s="242">
        <v>16987000</v>
      </c>
      <c r="BT28" s="243">
        <v>-2.4E-2</v>
      </c>
      <c r="BU28" s="243">
        <v>3.0000000000000001E-3</v>
      </c>
      <c r="BV28" s="243">
        <v>-2.1000000000000001E-2</v>
      </c>
      <c r="BW28" s="244">
        <v>1</v>
      </c>
      <c r="BX28" s="245">
        <v>40</v>
      </c>
      <c r="BY28" s="245">
        <v>63</v>
      </c>
      <c r="BZ28" s="246">
        <f t="shared" si="0"/>
        <v>0.56037181068007214</v>
      </c>
      <c r="CA28" s="247">
        <v>3.3000000000000002E-2</v>
      </c>
      <c r="CB28" s="247">
        <v>0.29099999999999998</v>
      </c>
      <c r="CC28" s="248">
        <v>10</v>
      </c>
      <c r="CD28" s="249">
        <v>11</v>
      </c>
      <c r="CE28" s="247">
        <f t="shared" si="1"/>
        <v>0.66647479367081952</v>
      </c>
      <c r="CF28" s="242">
        <v>-9099000</v>
      </c>
      <c r="CG28" s="243">
        <v>-2.4E-2</v>
      </c>
      <c r="CH28" s="243">
        <v>3.0000000000000001E-3</v>
      </c>
      <c r="CI28" s="243">
        <v>-2.1000000000000001E-2</v>
      </c>
    </row>
    <row r="29" spans="1:87" s="60" customFormat="1" ht="22.8" x14ac:dyDescent="0.3">
      <c r="A29" s="238">
        <v>22</v>
      </c>
      <c r="B29" s="238" t="s">
        <v>143</v>
      </c>
      <c r="C29" s="238" t="s">
        <v>77</v>
      </c>
      <c r="D29" s="238">
        <v>3791</v>
      </c>
      <c r="E29" s="238">
        <v>2025</v>
      </c>
      <c r="F29" s="238" t="s">
        <v>275</v>
      </c>
      <c r="G29" s="238">
        <v>5</v>
      </c>
      <c r="H29" s="238">
        <v>12</v>
      </c>
      <c r="I29" s="238" t="s">
        <v>715</v>
      </c>
      <c r="J29" s="239">
        <v>987000</v>
      </c>
      <c r="K29" s="239">
        <v>16094000</v>
      </c>
      <c r="L29" s="239">
        <v>215288000</v>
      </c>
      <c r="M29" s="239">
        <v>499498000</v>
      </c>
      <c r="N29" s="239">
        <v>357853000</v>
      </c>
      <c r="O29" s="239">
        <v>80000</v>
      </c>
      <c r="P29" s="239">
        <v>277833000</v>
      </c>
      <c r="Q29" s="242">
        <v>1367633000</v>
      </c>
      <c r="R29" s="239">
        <v>1720842000</v>
      </c>
      <c r="S29" s="239">
        <v>56201000</v>
      </c>
      <c r="T29" s="239">
        <v>0</v>
      </c>
      <c r="U29" s="239">
        <v>0</v>
      </c>
      <c r="V29" s="239">
        <v>3667774000</v>
      </c>
      <c r="W29" s="239">
        <v>2214910000</v>
      </c>
      <c r="X29" s="242">
        <v>1452864000</v>
      </c>
      <c r="Y29" s="239">
        <v>739290000</v>
      </c>
      <c r="Z29" s="242">
        <v>3969197000</v>
      </c>
      <c r="AA29" s="242">
        <v>5336830000</v>
      </c>
      <c r="AB29" s="239">
        <v>139299000</v>
      </c>
      <c r="AC29" s="239">
        <v>21450000</v>
      </c>
      <c r="AD29" s="239">
        <v>383053000</v>
      </c>
      <c r="AE29" s="239">
        <v>580431000</v>
      </c>
      <c r="AF29" s="242">
        <v>1124233000</v>
      </c>
      <c r="AG29" s="239">
        <v>1174022000</v>
      </c>
      <c r="AH29" s="239">
        <v>0</v>
      </c>
      <c r="AI29" s="239">
        <v>174793000</v>
      </c>
      <c r="AJ29" s="242">
        <v>1348815000</v>
      </c>
      <c r="AK29" s="242">
        <v>2473048000</v>
      </c>
      <c r="AL29" s="239">
        <v>2291308000</v>
      </c>
      <c r="AM29" s="239">
        <v>572474000</v>
      </c>
      <c r="AN29" s="239">
        <v>0</v>
      </c>
      <c r="AO29" s="242">
        <v>2863782000</v>
      </c>
      <c r="AP29" s="242">
        <v>5336830000</v>
      </c>
      <c r="AQ29" s="239">
        <v>3345286000</v>
      </c>
      <c r="AR29" s="239">
        <v>0</v>
      </c>
      <c r="AS29" s="239">
        <v>1402672000</v>
      </c>
      <c r="AT29" s="239">
        <v>0</v>
      </c>
      <c r="AU29" s="239">
        <v>0</v>
      </c>
      <c r="AV29" s="239">
        <v>0</v>
      </c>
      <c r="AW29" s="242">
        <v>4747958000</v>
      </c>
      <c r="AX29" s="239">
        <v>43038000</v>
      </c>
      <c r="AY29" s="239">
        <v>2745000</v>
      </c>
      <c r="AZ29" s="239">
        <v>138654000</v>
      </c>
      <c r="BA29" s="239">
        <v>0</v>
      </c>
      <c r="BB29" s="239">
        <v>81128000</v>
      </c>
      <c r="BC29" s="242">
        <v>265565000</v>
      </c>
      <c r="BD29" s="242">
        <v>5013523000</v>
      </c>
      <c r="BE29" s="239">
        <v>1601308000</v>
      </c>
      <c r="BF29" s="239">
        <v>0</v>
      </c>
      <c r="BG29" s="239">
        <v>174077000</v>
      </c>
      <c r="BH29" s="239">
        <v>43289000</v>
      </c>
      <c r="BI29" s="239">
        <v>19478000</v>
      </c>
      <c r="BJ29" s="239">
        <v>2650130000</v>
      </c>
      <c r="BK29" s="239">
        <v>0</v>
      </c>
      <c r="BL29" s="242">
        <v>4488282000</v>
      </c>
      <c r="BM29" s="242">
        <v>525241000</v>
      </c>
      <c r="BN29" s="239">
        <v>-127960000</v>
      </c>
      <c r="BO29" s="239">
        <v>10705000</v>
      </c>
      <c r="BP29" s="239">
        <v>407986000</v>
      </c>
      <c r="BQ29" s="239">
        <v>16631000</v>
      </c>
      <c r="BR29" s="239">
        <v>0</v>
      </c>
      <c r="BS29" s="242">
        <v>424617000</v>
      </c>
      <c r="BT29" s="243">
        <v>5.1999999999999998E-2</v>
      </c>
      <c r="BU29" s="243">
        <v>5.2999999999999999E-2</v>
      </c>
      <c r="BV29" s="243">
        <v>0.105</v>
      </c>
      <c r="BW29" s="244">
        <v>1.2</v>
      </c>
      <c r="BX29" s="245">
        <v>54</v>
      </c>
      <c r="BY29" s="245">
        <v>93</v>
      </c>
      <c r="BZ29" s="246">
        <f t="shared" si="0"/>
        <v>1.9272471408148677</v>
      </c>
      <c r="CA29" s="247">
        <v>0.30399999999999999</v>
      </c>
      <c r="CB29" s="247">
        <v>0.53700000000000003</v>
      </c>
      <c r="CC29" s="248">
        <v>13</v>
      </c>
      <c r="CD29" s="249">
        <v>1</v>
      </c>
      <c r="CE29" s="247">
        <f t="shared" si="1"/>
        <v>0.33879082223049467</v>
      </c>
      <c r="CF29" s="242">
        <v>525241000</v>
      </c>
      <c r="CG29" s="243">
        <v>5.1999999999999998E-2</v>
      </c>
      <c r="CH29" s="243">
        <v>5.2999999999999999E-2</v>
      </c>
      <c r="CI29" s="243">
        <v>0.105</v>
      </c>
    </row>
    <row r="30" spans="1:87" s="60" customFormat="1" ht="22.8" hidden="1" x14ac:dyDescent="0.3">
      <c r="A30" s="233">
        <v>10996</v>
      </c>
      <c r="B30" s="233" t="s">
        <v>151</v>
      </c>
      <c r="C30" s="233" t="s">
        <v>83</v>
      </c>
      <c r="D30" s="233">
        <v>3791</v>
      </c>
      <c r="E30" s="233">
        <v>2025</v>
      </c>
      <c r="F30" s="233" t="s">
        <v>275</v>
      </c>
      <c r="G30" s="233">
        <v>5</v>
      </c>
      <c r="H30" s="233">
        <v>12</v>
      </c>
      <c r="I30" s="233" t="s">
        <v>715</v>
      </c>
      <c r="J30" s="234">
        <v>0</v>
      </c>
      <c r="K30" s="234">
        <v>0</v>
      </c>
      <c r="L30" s="234">
        <v>0</v>
      </c>
      <c r="M30" s="234">
        <v>0</v>
      </c>
      <c r="N30" s="234">
        <v>0</v>
      </c>
      <c r="O30" s="234">
        <v>0</v>
      </c>
      <c r="P30" s="234">
        <v>0</v>
      </c>
      <c r="Q30" s="242">
        <v>0</v>
      </c>
      <c r="R30" s="234">
        <v>0</v>
      </c>
      <c r="S30" s="234">
        <v>0</v>
      </c>
      <c r="T30" s="234">
        <v>0</v>
      </c>
      <c r="U30" s="234">
        <v>0</v>
      </c>
      <c r="V30" s="234">
        <v>0</v>
      </c>
      <c r="W30" s="234">
        <v>0</v>
      </c>
      <c r="X30" s="242">
        <v>0</v>
      </c>
      <c r="Y30" s="234">
        <v>0</v>
      </c>
      <c r="Z30" s="242">
        <v>0</v>
      </c>
      <c r="AA30" s="242">
        <v>0</v>
      </c>
      <c r="AB30" s="234">
        <v>0</v>
      </c>
      <c r="AC30" s="234">
        <v>0</v>
      </c>
      <c r="AD30" s="234">
        <v>0</v>
      </c>
      <c r="AE30" s="234">
        <v>0</v>
      </c>
      <c r="AF30" s="242">
        <v>0</v>
      </c>
      <c r="AG30" s="234">
        <v>0</v>
      </c>
      <c r="AH30" s="234">
        <v>0</v>
      </c>
      <c r="AI30" s="234">
        <v>0</v>
      </c>
      <c r="AJ30" s="242">
        <v>0</v>
      </c>
      <c r="AK30" s="242">
        <v>0</v>
      </c>
      <c r="AL30" s="234">
        <v>0</v>
      </c>
      <c r="AM30" s="234">
        <v>0</v>
      </c>
      <c r="AN30" s="234">
        <v>0</v>
      </c>
      <c r="AO30" s="242">
        <v>0</v>
      </c>
      <c r="AP30" s="242">
        <v>0</v>
      </c>
      <c r="AQ30" s="234">
        <v>955264000</v>
      </c>
      <c r="AR30" s="234">
        <v>0</v>
      </c>
      <c r="AS30" s="234">
        <v>376080000</v>
      </c>
      <c r="AT30" s="234">
        <v>0</v>
      </c>
      <c r="AU30" s="234">
        <v>0</v>
      </c>
      <c r="AV30" s="234">
        <v>0</v>
      </c>
      <c r="AW30" s="242">
        <v>1331344000</v>
      </c>
      <c r="AX30" s="234">
        <v>45247000</v>
      </c>
      <c r="AY30" s="234">
        <v>0</v>
      </c>
      <c r="AZ30" s="234">
        <v>45782000</v>
      </c>
      <c r="BA30" s="234">
        <v>0</v>
      </c>
      <c r="BB30" s="234">
        <v>65000</v>
      </c>
      <c r="BC30" s="242">
        <v>91094000</v>
      </c>
      <c r="BD30" s="242">
        <v>1422438000</v>
      </c>
      <c r="BE30" s="234">
        <v>1082682000</v>
      </c>
      <c r="BF30" s="234">
        <v>0</v>
      </c>
      <c r="BG30" s="234">
        <v>7213000</v>
      </c>
      <c r="BH30" s="234">
        <v>1087000</v>
      </c>
      <c r="BI30" s="234">
        <v>0</v>
      </c>
      <c r="BJ30" s="234">
        <v>207361000</v>
      </c>
      <c r="BK30" s="234">
        <v>0</v>
      </c>
      <c r="BL30" s="242">
        <v>1298343000</v>
      </c>
      <c r="BM30" s="242">
        <v>124095000</v>
      </c>
      <c r="BN30" s="234">
        <v>-12208000</v>
      </c>
      <c r="BO30" s="234">
        <v>0</v>
      </c>
      <c r="BP30" s="234">
        <v>111887000</v>
      </c>
      <c r="BQ30" s="234">
        <v>79000</v>
      </c>
      <c r="BR30" s="234">
        <v>0</v>
      </c>
      <c r="BS30" s="242">
        <v>111966000</v>
      </c>
      <c r="BT30" s="243">
        <v>2.3E-2</v>
      </c>
      <c r="BU30" s="243">
        <v>6.4000000000000001E-2</v>
      </c>
      <c r="BV30" s="243">
        <v>8.6999999999999994E-2</v>
      </c>
      <c r="BW30" s="244">
        <v>0</v>
      </c>
      <c r="BX30" s="245">
        <v>0</v>
      </c>
      <c r="BY30" s="245">
        <v>0</v>
      </c>
      <c r="BZ30" s="246">
        <f t="shared" si="0"/>
        <v>12.007902398447248</v>
      </c>
      <c r="CA30" s="247">
        <v>0</v>
      </c>
      <c r="CB30" s="247">
        <v>0</v>
      </c>
      <c r="CC30" s="248">
        <v>0</v>
      </c>
      <c r="CD30" s="249">
        <v>0</v>
      </c>
      <c r="CE30" s="247" t="e">
        <f t="shared" si="1"/>
        <v>#DIV/0!</v>
      </c>
      <c r="CF30" s="242">
        <v>124095000</v>
      </c>
      <c r="CG30" s="243">
        <v>2.3E-2</v>
      </c>
      <c r="CH30" s="243">
        <v>6.4000000000000001E-2</v>
      </c>
      <c r="CI30" s="243">
        <v>8.6999999999999994E-2</v>
      </c>
    </row>
    <row r="31" spans="1:87" s="60" customFormat="1" ht="22.8" hidden="1" x14ac:dyDescent="0.3">
      <c r="A31" s="238">
        <v>22350</v>
      </c>
      <c r="B31" s="238" t="s">
        <v>174</v>
      </c>
      <c r="C31" s="238" t="s">
        <v>75</v>
      </c>
      <c r="D31" s="238">
        <v>22350</v>
      </c>
      <c r="E31" s="238">
        <v>2025</v>
      </c>
      <c r="F31" s="238" t="s">
        <v>275</v>
      </c>
      <c r="G31" s="238">
        <v>5</v>
      </c>
      <c r="H31" s="238">
        <v>12</v>
      </c>
      <c r="I31" s="238" t="s">
        <v>715</v>
      </c>
      <c r="J31" s="239">
        <v>100051000</v>
      </c>
      <c r="K31" s="239">
        <v>0</v>
      </c>
      <c r="L31" s="239">
        <v>67492000</v>
      </c>
      <c r="M31" s="239">
        <v>407358000</v>
      </c>
      <c r="N31" s="239">
        <v>0</v>
      </c>
      <c r="O31" s="239">
        <v>0</v>
      </c>
      <c r="P31" s="239">
        <v>309687000</v>
      </c>
      <c r="Q31" s="242">
        <v>884588000</v>
      </c>
      <c r="R31" s="239">
        <v>2315024000</v>
      </c>
      <c r="S31" s="239">
        <v>0</v>
      </c>
      <c r="T31" s="239">
        <v>0</v>
      </c>
      <c r="U31" s="239">
        <v>0</v>
      </c>
      <c r="V31" s="239">
        <v>2217294000</v>
      </c>
      <c r="W31" s="239">
        <v>1198567000</v>
      </c>
      <c r="X31" s="242">
        <v>1018727000</v>
      </c>
      <c r="Y31" s="239">
        <v>367938000</v>
      </c>
      <c r="Z31" s="242">
        <v>3701689000</v>
      </c>
      <c r="AA31" s="242">
        <v>4586277000</v>
      </c>
      <c r="AB31" s="239">
        <v>22806000</v>
      </c>
      <c r="AC31" s="239">
        <v>63142000</v>
      </c>
      <c r="AD31" s="239">
        <v>0</v>
      </c>
      <c r="AE31" s="239">
        <v>491209000</v>
      </c>
      <c r="AF31" s="242">
        <v>577157000</v>
      </c>
      <c r="AG31" s="239">
        <v>1204339000</v>
      </c>
      <c r="AH31" s="239">
        <v>0</v>
      </c>
      <c r="AI31" s="239">
        <v>459260000</v>
      </c>
      <c r="AJ31" s="242">
        <v>1663599000</v>
      </c>
      <c r="AK31" s="242">
        <v>2240756000</v>
      </c>
      <c r="AL31" s="239">
        <v>1507022000</v>
      </c>
      <c r="AM31" s="239">
        <v>838499000</v>
      </c>
      <c r="AN31" s="239">
        <v>0</v>
      </c>
      <c r="AO31" s="242">
        <v>2345521000</v>
      </c>
      <c r="AP31" s="242">
        <v>4586277000</v>
      </c>
      <c r="AQ31" s="239">
        <v>3666519000</v>
      </c>
      <c r="AR31" s="239">
        <v>0</v>
      </c>
      <c r="AS31" s="239">
        <v>491819000</v>
      </c>
      <c r="AT31" s="239">
        <v>0</v>
      </c>
      <c r="AU31" s="239">
        <v>0</v>
      </c>
      <c r="AV31" s="239">
        <v>215333000</v>
      </c>
      <c r="AW31" s="242">
        <v>4373671000</v>
      </c>
      <c r="AX31" s="239">
        <v>109572000</v>
      </c>
      <c r="AY31" s="239">
        <v>19344000</v>
      </c>
      <c r="AZ31" s="239">
        <v>0</v>
      </c>
      <c r="BA31" s="239">
        <v>-4123000</v>
      </c>
      <c r="BB31" s="239">
        <v>-6501000</v>
      </c>
      <c r="BC31" s="242">
        <v>118292000</v>
      </c>
      <c r="BD31" s="242">
        <v>4491963000</v>
      </c>
      <c r="BE31" s="239">
        <v>2401394000</v>
      </c>
      <c r="BF31" s="239">
        <v>0</v>
      </c>
      <c r="BG31" s="239">
        <v>114527000</v>
      </c>
      <c r="BH31" s="239">
        <v>34141000</v>
      </c>
      <c r="BI31" s="239">
        <v>13836348</v>
      </c>
      <c r="BJ31" s="239">
        <v>1768539652</v>
      </c>
      <c r="BK31" s="239">
        <v>0</v>
      </c>
      <c r="BL31" s="242">
        <v>4332438000</v>
      </c>
      <c r="BM31" s="242">
        <v>159525000</v>
      </c>
      <c r="BN31" s="239">
        <v>0</v>
      </c>
      <c r="BO31" s="239">
        <v>15342000</v>
      </c>
      <c r="BP31" s="239">
        <v>174867000</v>
      </c>
      <c r="BQ31" s="239">
        <v>18310000</v>
      </c>
      <c r="BR31" s="239">
        <v>0</v>
      </c>
      <c r="BS31" s="242">
        <v>193177000</v>
      </c>
      <c r="BT31" s="243">
        <v>8.9999999999999993E-3</v>
      </c>
      <c r="BU31" s="243">
        <v>2.5999999999999999E-2</v>
      </c>
      <c r="BV31" s="243">
        <v>3.5999999999999997E-2</v>
      </c>
      <c r="BW31" s="244">
        <v>1.5</v>
      </c>
      <c r="BX31" s="245">
        <v>41</v>
      </c>
      <c r="BY31" s="245">
        <v>44</v>
      </c>
      <c r="BZ31" s="246">
        <f t="shared" si="0"/>
        <v>2.244129233323382</v>
      </c>
      <c r="CA31" s="247">
        <v>0.154</v>
      </c>
      <c r="CB31" s="247">
        <v>0.51100000000000001</v>
      </c>
      <c r="CC31" s="248">
        <v>10</v>
      </c>
      <c r="CD31" s="249">
        <v>9</v>
      </c>
      <c r="CE31" s="247">
        <f t="shared" si="1"/>
        <v>0.44418246039535125</v>
      </c>
      <c r="CF31" s="242">
        <v>159525000</v>
      </c>
      <c r="CG31" s="243">
        <v>8.9999999999999993E-3</v>
      </c>
      <c r="CH31" s="243">
        <v>2.5999999999999999E-2</v>
      </c>
      <c r="CI31" s="243">
        <v>3.5999999999999997E-2</v>
      </c>
    </row>
    <row r="32" spans="1:87" s="60" customFormat="1" ht="22.8" x14ac:dyDescent="0.3">
      <c r="A32" s="238">
        <v>3108</v>
      </c>
      <c r="B32" s="238" t="s">
        <v>121</v>
      </c>
      <c r="C32" s="238" t="s">
        <v>77</v>
      </c>
      <c r="D32" s="238">
        <v>13159</v>
      </c>
      <c r="E32" s="238">
        <v>2025</v>
      </c>
      <c r="F32" s="238" t="s">
        <v>276</v>
      </c>
      <c r="G32" s="238">
        <v>5</v>
      </c>
      <c r="H32" s="238">
        <v>12</v>
      </c>
      <c r="I32" s="238" t="s">
        <v>716</v>
      </c>
      <c r="J32" s="239">
        <v>212614579</v>
      </c>
      <c r="K32" s="239">
        <v>12504295</v>
      </c>
      <c r="L32" s="239">
        <v>0</v>
      </c>
      <c r="M32" s="239">
        <v>39414910</v>
      </c>
      <c r="N32" s="239">
        <v>265461</v>
      </c>
      <c r="O32" s="239">
        <v>141475943</v>
      </c>
      <c r="P32" s="239">
        <v>38860848</v>
      </c>
      <c r="Q32" s="242">
        <v>445136036</v>
      </c>
      <c r="R32" s="239">
        <v>6117442</v>
      </c>
      <c r="S32" s="239">
        <v>0</v>
      </c>
      <c r="T32" s="239">
        <v>0</v>
      </c>
      <c r="U32" s="239">
        <v>0</v>
      </c>
      <c r="V32" s="239">
        <v>927668974</v>
      </c>
      <c r="W32" s="239">
        <v>664712001</v>
      </c>
      <c r="X32" s="242">
        <v>262956973</v>
      </c>
      <c r="Y32" s="239">
        <v>57545065</v>
      </c>
      <c r="Z32" s="242">
        <v>326619480</v>
      </c>
      <c r="AA32" s="242">
        <v>771755516</v>
      </c>
      <c r="AB32" s="239">
        <v>12459999</v>
      </c>
      <c r="AC32" s="239">
        <v>1025713</v>
      </c>
      <c r="AD32" s="239">
        <v>0</v>
      </c>
      <c r="AE32" s="239">
        <v>161334234</v>
      </c>
      <c r="AF32" s="242">
        <v>174819946</v>
      </c>
      <c r="AG32" s="239">
        <v>78273652</v>
      </c>
      <c r="AH32" s="239">
        <v>0</v>
      </c>
      <c r="AI32" s="239">
        <v>192421347</v>
      </c>
      <c r="AJ32" s="242">
        <v>270694999</v>
      </c>
      <c r="AK32" s="242">
        <v>445514945</v>
      </c>
      <c r="AL32" s="239">
        <v>325094953</v>
      </c>
      <c r="AM32" s="239">
        <v>0</v>
      </c>
      <c r="AN32" s="239">
        <v>1145618</v>
      </c>
      <c r="AO32" s="242">
        <v>326240571</v>
      </c>
      <c r="AP32" s="242">
        <v>771755516</v>
      </c>
      <c r="AQ32" s="239">
        <v>459240867</v>
      </c>
      <c r="AR32" s="239">
        <v>103724457</v>
      </c>
      <c r="AS32" s="239">
        <v>519468032</v>
      </c>
      <c r="AT32" s="239">
        <v>0</v>
      </c>
      <c r="AU32" s="239">
        <v>0</v>
      </c>
      <c r="AV32" s="239">
        <v>0</v>
      </c>
      <c r="AW32" s="242">
        <v>1082433356</v>
      </c>
      <c r="AX32" s="239">
        <v>10919805</v>
      </c>
      <c r="AY32" s="239">
        <v>32863908</v>
      </c>
      <c r="AZ32" s="239">
        <v>0</v>
      </c>
      <c r="BA32" s="239">
        <v>8671166</v>
      </c>
      <c r="BB32" s="239">
        <v>0</v>
      </c>
      <c r="BC32" s="242">
        <v>52454879</v>
      </c>
      <c r="BD32" s="242">
        <v>1134888235</v>
      </c>
      <c r="BE32" s="239">
        <v>644442608</v>
      </c>
      <c r="BF32" s="239">
        <v>8086303</v>
      </c>
      <c r="BG32" s="239">
        <v>43361725</v>
      </c>
      <c r="BH32" s="239">
        <v>2453557</v>
      </c>
      <c r="BI32" s="239">
        <v>3621825</v>
      </c>
      <c r="BJ32" s="239">
        <v>380051685</v>
      </c>
      <c r="BK32" s="239">
        <v>0</v>
      </c>
      <c r="BL32" s="242">
        <v>1082017703</v>
      </c>
      <c r="BM32" s="242">
        <v>52870532</v>
      </c>
      <c r="BN32" s="239">
        <v>1676794</v>
      </c>
      <c r="BO32" s="239">
        <v>0</v>
      </c>
      <c r="BP32" s="239">
        <v>54547326</v>
      </c>
      <c r="BQ32" s="239">
        <v>0</v>
      </c>
      <c r="BR32" s="239">
        <v>0</v>
      </c>
      <c r="BS32" s="242">
        <v>54547326</v>
      </c>
      <c r="BT32" s="243">
        <v>0</v>
      </c>
      <c r="BU32" s="243">
        <v>4.5999999999999999E-2</v>
      </c>
      <c r="BV32" s="243">
        <v>4.7E-2</v>
      </c>
      <c r="BW32" s="244">
        <v>2.5</v>
      </c>
      <c r="BX32" s="245">
        <v>31</v>
      </c>
      <c r="BY32" s="245">
        <v>61</v>
      </c>
      <c r="BZ32" s="246">
        <f t="shared" si="0"/>
        <v>1.7678747077034023</v>
      </c>
      <c r="CA32" s="247">
        <v>0.38</v>
      </c>
      <c r="CB32" s="247">
        <v>0.42299999999999999</v>
      </c>
      <c r="CC32" s="248">
        <v>15</v>
      </c>
      <c r="CD32" s="249">
        <v>79</v>
      </c>
      <c r="CE32" s="247">
        <f t="shared" si="1"/>
        <v>0.19404993603803153</v>
      </c>
      <c r="CF32" s="242">
        <v>52870532</v>
      </c>
      <c r="CG32" s="243">
        <v>0</v>
      </c>
      <c r="CH32" s="243">
        <v>4.5999999999999999E-2</v>
      </c>
      <c r="CI32" s="243">
        <v>4.7E-2</v>
      </c>
    </row>
    <row r="33" spans="1:87" s="60" customFormat="1" ht="22.8" hidden="1" x14ac:dyDescent="0.3">
      <c r="A33" s="233">
        <v>13159</v>
      </c>
      <c r="B33" s="233" t="s">
        <v>121</v>
      </c>
      <c r="C33" s="233" t="s">
        <v>75</v>
      </c>
      <c r="D33" s="233">
        <v>13159</v>
      </c>
      <c r="E33" s="233">
        <v>2025</v>
      </c>
      <c r="F33" s="233" t="s">
        <v>276</v>
      </c>
      <c r="G33" s="233">
        <v>5</v>
      </c>
      <c r="H33" s="233">
        <v>12</v>
      </c>
      <c r="I33" s="233" t="s">
        <v>716</v>
      </c>
      <c r="J33" s="234">
        <v>221717241</v>
      </c>
      <c r="K33" s="234">
        <v>12504295</v>
      </c>
      <c r="L33" s="234">
        <v>0</v>
      </c>
      <c r="M33" s="234">
        <v>39414910</v>
      </c>
      <c r="N33" s="234">
        <v>0</v>
      </c>
      <c r="O33" s="234">
        <v>141475943</v>
      </c>
      <c r="P33" s="234">
        <v>39438743</v>
      </c>
      <c r="Q33" s="242">
        <v>454551132</v>
      </c>
      <c r="R33" s="234">
        <v>6117442</v>
      </c>
      <c r="S33" s="234">
        <v>0</v>
      </c>
      <c r="T33" s="234">
        <v>0</v>
      </c>
      <c r="U33" s="234">
        <v>0</v>
      </c>
      <c r="V33" s="234">
        <v>927765374</v>
      </c>
      <c r="W33" s="234">
        <v>664805223</v>
      </c>
      <c r="X33" s="242">
        <v>262960151</v>
      </c>
      <c r="Y33" s="234">
        <v>57545064</v>
      </c>
      <c r="Z33" s="242">
        <v>326622657</v>
      </c>
      <c r="AA33" s="242">
        <v>781173789</v>
      </c>
      <c r="AB33" s="234">
        <v>12459999</v>
      </c>
      <c r="AC33" s="234">
        <v>1025713</v>
      </c>
      <c r="AD33" s="234">
        <v>0</v>
      </c>
      <c r="AE33" s="234">
        <v>163221705</v>
      </c>
      <c r="AF33" s="242">
        <v>176707417</v>
      </c>
      <c r="AG33" s="234">
        <v>78273652</v>
      </c>
      <c r="AH33" s="234">
        <v>0</v>
      </c>
      <c r="AI33" s="234">
        <v>192421347</v>
      </c>
      <c r="AJ33" s="242">
        <v>270694999</v>
      </c>
      <c r="AK33" s="242">
        <v>447402416</v>
      </c>
      <c r="AL33" s="234">
        <v>324551858</v>
      </c>
      <c r="AM33" s="234">
        <v>0</v>
      </c>
      <c r="AN33" s="234">
        <v>9219515</v>
      </c>
      <c r="AO33" s="242">
        <v>333771373</v>
      </c>
      <c r="AP33" s="242">
        <v>781173789</v>
      </c>
      <c r="AQ33" s="234">
        <v>459240867</v>
      </c>
      <c r="AR33" s="234">
        <v>103724457</v>
      </c>
      <c r="AS33" s="234">
        <v>524730882</v>
      </c>
      <c r="AT33" s="234">
        <v>0</v>
      </c>
      <c r="AU33" s="234">
        <v>0</v>
      </c>
      <c r="AV33" s="234">
        <v>0</v>
      </c>
      <c r="AW33" s="242">
        <v>1087696206</v>
      </c>
      <c r="AX33" s="234">
        <v>10919421</v>
      </c>
      <c r="AY33" s="234">
        <v>34389719</v>
      </c>
      <c r="AZ33" s="234">
        <v>0</v>
      </c>
      <c r="BA33" s="234">
        <v>8671166</v>
      </c>
      <c r="BB33" s="234">
        <v>0</v>
      </c>
      <c r="BC33" s="242">
        <v>53980306</v>
      </c>
      <c r="BD33" s="242">
        <v>1141676512</v>
      </c>
      <c r="BE33" s="234">
        <v>648032146</v>
      </c>
      <c r="BF33" s="234">
        <v>8086303</v>
      </c>
      <c r="BG33" s="234">
        <v>43361769</v>
      </c>
      <c r="BH33" s="234">
        <v>2453557</v>
      </c>
      <c r="BI33" s="234">
        <v>3621825</v>
      </c>
      <c r="BJ33" s="234">
        <v>380709119</v>
      </c>
      <c r="BK33" s="234">
        <v>0</v>
      </c>
      <c r="BL33" s="242">
        <v>1086264719</v>
      </c>
      <c r="BM33" s="242">
        <v>55411793</v>
      </c>
      <c r="BN33" s="234">
        <v>0</v>
      </c>
      <c r="BO33" s="234">
        <v>0</v>
      </c>
      <c r="BP33" s="234">
        <v>55411793</v>
      </c>
      <c r="BQ33" s="234">
        <v>0</v>
      </c>
      <c r="BR33" s="234">
        <v>0</v>
      </c>
      <c r="BS33" s="242">
        <v>55411793</v>
      </c>
      <c r="BT33" s="243">
        <v>1E-3</v>
      </c>
      <c r="BU33" s="243">
        <v>4.7E-2</v>
      </c>
      <c r="BV33" s="243">
        <v>4.9000000000000002E-2</v>
      </c>
      <c r="BW33" s="244">
        <v>2.6</v>
      </c>
      <c r="BX33" s="245">
        <v>31</v>
      </c>
      <c r="BY33" s="245">
        <v>61</v>
      </c>
      <c r="BZ33" s="246">
        <f t="shared" si="0"/>
        <v>1.8133986548043408</v>
      </c>
      <c r="CA33" s="247">
        <v>0.38700000000000001</v>
      </c>
      <c r="CB33" s="247">
        <v>0.42699999999999999</v>
      </c>
      <c r="CC33" s="248">
        <v>15</v>
      </c>
      <c r="CD33" s="249">
        <v>82</v>
      </c>
      <c r="CE33" s="247">
        <f t="shared" si="1"/>
        <v>0.19431155688228385</v>
      </c>
      <c r="CF33" s="242">
        <v>55411793</v>
      </c>
      <c r="CG33" s="243">
        <v>1E-3</v>
      </c>
      <c r="CH33" s="243">
        <v>4.7E-2</v>
      </c>
      <c r="CI33" s="243">
        <v>4.9000000000000002E-2</v>
      </c>
    </row>
    <row r="34" spans="1:87" s="60" customFormat="1" ht="22.8" x14ac:dyDescent="0.3">
      <c r="A34" s="233">
        <v>3108</v>
      </c>
      <c r="B34" s="233" t="s">
        <v>121</v>
      </c>
      <c r="C34" s="233" t="s">
        <v>77</v>
      </c>
      <c r="D34" s="233">
        <v>13159</v>
      </c>
      <c r="E34" s="233">
        <v>2025</v>
      </c>
      <c r="F34" s="233" t="s">
        <v>276</v>
      </c>
      <c r="G34" s="233">
        <v>5</v>
      </c>
      <c r="H34" s="233">
        <v>12</v>
      </c>
      <c r="I34" s="233" t="s">
        <v>716</v>
      </c>
      <c r="J34" s="234">
        <v>212614579</v>
      </c>
      <c r="K34" s="234">
        <v>12504295</v>
      </c>
      <c r="L34" s="234">
        <v>0</v>
      </c>
      <c r="M34" s="234">
        <v>39414910</v>
      </c>
      <c r="N34" s="234">
        <v>265461</v>
      </c>
      <c r="O34" s="234">
        <v>141475943</v>
      </c>
      <c r="P34" s="234">
        <v>38860848</v>
      </c>
      <c r="Q34" s="242">
        <v>445136036</v>
      </c>
      <c r="R34" s="234">
        <v>6117442</v>
      </c>
      <c r="S34" s="234">
        <v>0</v>
      </c>
      <c r="T34" s="234">
        <v>0</v>
      </c>
      <c r="U34" s="234">
        <v>0</v>
      </c>
      <c r="V34" s="234">
        <v>927668974</v>
      </c>
      <c r="W34" s="234">
        <v>664712001</v>
      </c>
      <c r="X34" s="242">
        <v>262956973</v>
      </c>
      <c r="Y34" s="234">
        <v>57545065</v>
      </c>
      <c r="Z34" s="242">
        <v>326619480</v>
      </c>
      <c r="AA34" s="242">
        <v>771755516</v>
      </c>
      <c r="AB34" s="234">
        <v>12459999</v>
      </c>
      <c r="AC34" s="234">
        <v>1025713</v>
      </c>
      <c r="AD34" s="234">
        <v>0</v>
      </c>
      <c r="AE34" s="234">
        <v>161334234</v>
      </c>
      <c r="AF34" s="242">
        <v>174819946</v>
      </c>
      <c r="AG34" s="234">
        <v>78273652</v>
      </c>
      <c r="AH34" s="234">
        <v>0</v>
      </c>
      <c r="AI34" s="234">
        <v>192421347</v>
      </c>
      <c r="AJ34" s="242">
        <v>270694999</v>
      </c>
      <c r="AK34" s="242">
        <v>445514945</v>
      </c>
      <c r="AL34" s="234">
        <v>325094953</v>
      </c>
      <c r="AM34" s="234">
        <v>0</v>
      </c>
      <c r="AN34" s="234">
        <v>1145618</v>
      </c>
      <c r="AO34" s="242">
        <v>326240571</v>
      </c>
      <c r="AP34" s="242">
        <v>771755516</v>
      </c>
      <c r="AQ34" s="234">
        <v>459240867</v>
      </c>
      <c r="AR34" s="234">
        <v>103724457</v>
      </c>
      <c r="AS34" s="234">
        <v>519468032</v>
      </c>
      <c r="AT34" s="234">
        <v>0</v>
      </c>
      <c r="AU34" s="234">
        <v>0</v>
      </c>
      <c r="AV34" s="234">
        <v>0</v>
      </c>
      <c r="AW34" s="242">
        <v>1082433356</v>
      </c>
      <c r="AX34" s="234">
        <v>10919805</v>
      </c>
      <c r="AY34" s="234">
        <v>32863908</v>
      </c>
      <c r="AZ34" s="234">
        <v>0</v>
      </c>
      <c r="BA34" s="234">
        <v>8671166</v>
      </c>
      <c r="BB34" s="234">
        <v>0</v>
      </c>
      <c r="BC34" s="242">
        <v>52454879</v>
      </c>
      <c r="BD34" s="242">
        <v>1134888235</v>
      </c>
      <c r="BE34" s="234">
        <v>644442608</v>
      </c>
      <c r="BF34" s="234">
        <v>8086303</v>
      </c>
      <c r="BG34" s="234">
        <v>43361725</v>
      </c>
      <c r="BH34" s="234">
        <v>2453557</v>
      </c>
      <c r="BI34" s="234">
        <v>3621825</v>
      </c>
      <c r="BJ34" s="234">
        <v>380051685</v>
      </c>
      <c r="BK34" s="234">
        <v>0</v>
      </c>
      <c r="BL34" s="242">
        <v>1082017703</v>
      </c>
      <c r="BM34" s="242">
        <v>52870532</v>
      </c>
      <c r="BN34" s="234">
        <v>1676794</v>
      </c>
      <c r="BO34" s="234">
        <v>0</v>
      </c>
      <c r="BP34" s="234">
        <v>54547326</v>
      </c>
      <c r="BQ34" s="234">
        <v>0</v>
      </c>
      <c r="BR34" s="234">
        <v>0</v>
      </c>
      <c r="BS34" s="242">
        <v>54547326</v>
      </c>
      <c r="BT34" s="247">
        <v>0</v>
      </c>
      <c r="BU34" s="247">
        <v>4.5999999999999999E-2</v>
      </c>
      <c r="BV34" s="247">
        <v>4.7E-2</v>
      </c>
      <c r="BW34" s="244">
        <v>2.5</v>
      </c>
      <c r="BX34" s="245">
        <v>31</v>
      </c>
      <c r="BY34" s="245">
        <v>61</v>
      </c>
      <c r="BZ34" s="246">
        <f t="shared" ref="BZ34:BZ65" si="2">(BH34+BM34+BG34-AZ34)/(BG34+AB34)</f>
        <v>1.7678747077034023</v>
      </c>
      <c r="CA34" s="247">
        <v>0.38</v>
      </c>
      <c r="CB34" s="247">
        <v>0.42299999999999999</v>
      </c>
      <c r="CC34" s="248">
        <v>15</v>
      </c>
      <c r="CD34" s="248"/>
      <c r="CE34" s="247">
        <f t="shared" ref="CE34:CE65" si="3">AG34/(AG34+AL34)</f>
        <v>0.19404993603803153</v>
      </c>
      <c r="CF34" s="242">
        <v>0</v>
      </c>
      <c r="CG34" s="247">
        <v>0</v>
      </c>
      <c r="CH34" s="247">
        <v>52870532</v>
      </c>
      <c r="CI34" s="247">
        <v>0</v>
      </c>
    </row>
    <row r="35" spans="1:87" s="60" customFormat="1" ht="22.8" hidden="1" x14ac:dyDescent="0.3">
      <c r="A35" s="233">
        <v>3109</v>
      </c>
      <c r="B35" s="233" t="s">
        <v>122</v>
      </c>
      <c r="C35" s="233" t="s">
        <v>75</v>
      </c>
      <c r="D35" s="233">
        <v>3109</v>
      </c>
      <c r="E35" s="233">
        <v>2025</v>
      </c>
      <c r="F35" s="233" t="s">
        <v>275</v>
      </c>
      <c r="G35" s="233">
        <v>5</v>
      </c>
      <c r="H35" s="233">
        <v>12</v>
      </c>
      <c r="I35" s="233" t="s">
        <v>715</v>
      </c>
      <c r="J35" s="234">
        <v>57188735</v>
      </c>
      <c r="K35" s="234">
        <v>61378205</v>
      </c>
      <c r="L35" s="234">
        <v>6462006</v>
      </c>
      <c r="M35" s="234">
        <v>110408654</v>
      </c>
      <c r="N35" s="234">
        <v>0</v>
      </c>
      <c r="O35" s="234">
        <v>0</v>
      </c>
      <c r="P35" s="234">
        <v>51963663</v>
      </c>
      <c r="Q35" s="242">
        <v>287401263</v>
      </c>
      <c r="R35" s="234">
        <v>80305387</v>
      </c>
      <c r="S35" s="234">
        <v>11206329</v>
      </c>
      <c r="T35" s="234">
        <v>0</v>
      </c>
      <c r="U35" s="234">
        <v>0</v>
      </c>
      <c r="V35" s="234">
        <v>1132130841</v>
      </c>
      <c r="W35" s="234">
        <v>619923423</v>
      </c>
      <c r="X35" s="242">
        <v>512207418</v>
      </c>
      <c r="Y35" s="234">
        <v>588720599</v>
      </c>
      <c r="Z35" s="242">
        <v>1192439733</v>
      </c>
      <c r="AA35" s="242">
        <v>1479840996</v>
      </c>
      <c r="AB35" s="234">
        <v>16037740</v>
      </c>
      <c r="AC35" s="234">
        <v>11312814</v>
      </c>
      <c r="AD35" s="234">
        <v>0</v>
      </c>
      <c r="AE35" s="234">
        <v>174895921</v>
      </c>
      <c r="AF35" s="242">
        <v>202246475</v>
      </c>
      <c r="AG35" s="234">
        <v>111512035</v>
      </c>
      <c r="AH35" s="234">
        <v>0</v>
      </c>
      <c r="AI35" s="234">
        <v>87644208</v>
      </c>
      <c r="AJ35" s="242">
        <v>199156243</v>
      </c>
      <c r="AK35" s="242">
        <v>401402718</v>
      </c>
      <c r="AL35" s="234">
        <v>992219754</v>
      </c>
      <c r="AM35" s="234">
        <v>86218524</v>
      </c>
      <c r="AN35" s="234">
        <v>0</v>
      </c>
      <c r="AO35" s="242">
        <v>1078438278</v>
      </c>
      <c r="AP35" s="242">
        <v>1479840996</v>
      </c>
      <c r="AQ35" s="234">
        <v>1122218935</v>
      </c>
      <c r="AR35" s="234">
        <v>0</v>
      </c>
      <c r="AS35" s="234">
        <v>92066052</v>
      </c>
      <c r="AT35" s="234">
        <v>5000000</v>
      </c>
      <c r="AU35" s="234">
        <v>0</v>
      </c>
      <c r="AV35" s="234">
        <v>1756538</v>
      </c>
      <c r="AW35" s="242">
        <v>1221041525</v>
      </c>
      <c r="AX35" s="234">
        <v>12998964</v>
      </c>
      <c r="AY35" s="234">
        <v>5001390</v>
      </c>
      <c r="AZ35" s="234">
        <v>0</v>
      </c>
      <c r="BA35" s="234">
        <v>42042919</v>
      </c>
      <c r="BB35" s="234">
        <v>0</v>
      </c>
      <c r="BC35" s="242">
        <v>60043273</v>
      </c>
      <c r="BD35" s="242">
        <v>1281084798</v>
      </c>
      <c r="BE35" s="234">
        <v>733625285</v>
      </c>
      <c r="BF35" s="234">
        <v>0</v>
      </c>
      <c r="BG35" s="234">
        <v>42135268</v>
      </c>
      <c r="BH35" s="234">
        <v>1331238</v>
      </c>
      <c r="BI35" s="234">
        <v>18038342</v>
      </c>
      <c r="BJ35" s="234">
        <v>412892304</v>
      </c>
      <c r="BK35" s="234">
        <v>0</v>
      </c>
      <c r="BL35" s="242">
        <v>1208022437</v>
      </c>
      <c r="BM35" s="242">
        <v>73062361</v>
      </c>
      <c r="BN35" s="234">
        <v>0</v>
      </c>
      <c r="BO35" s="234">
        <v>16614940</v>
      </c>
      <c r="BP35" s="234">
        <v>89677301</v>
      </c>
      <c r="BQ35" s="234">
        <v>0</v>
      </c>
      <c r="BR35" s="234">
        <v>0</v>
      </c>
      <c r="BS35" s="242">
        <v>89677301</v>
      </c>
      <c r="BT35" s="247">
        <v>0.01</v>
      </c>
      <c r="BU35" s="247">
        <v>4.7E-2</v>
      </c>
      <c r="BV35" s="247">
        <v>5.7000000000000002E-2</v>
      </c>
      <c r="BW35" s="244">
        <v>1.4</v>
      </c>
      <c r="BX35" s="245">
        <v>36</v>
      </c>
      <c r="BY35" s="245">
        <v>60</v>
      </c>
      <c r="BZ35" s="246">
        <f t="shared" si="2"/>
        <v>2.0031432275257282</v>
      </c>
      <c r="CA35" s="247">
        <v>0.36699999999999999</v>
      </c>
      <c r="CB35" s="247">
        <v>0.72899999999999998</v>
      </c>
      <c r="CC35" s="248">
        <v>15</v>
      </c>
      <c r="CD35" s="248"/>
      <c r="CE35" s="247">
        <f t="shared" si="3"/>
        <v>0.10103182323038083</v>
      </c>
      <c r="CF35" s="242">
        <v>0</v>
      </c>
      <c r="CG35" s="247">
        <v>0</v>
      </c>
      <c r="CH35" s="247">
        <v>68062361</v>
      </c>
      <c r="CI35" s="247">
        <v>6.0000000000000001E-3</v>
      </c>
    </row>
    <row r="36" spans="1:87" s="60" customFormat="1" ht="22.8" x14ac:dyDescent="0.3">
      <c r="A36" s="233">
        <v>39</v>
      </c>
      <c r="B36" s="233" t="s">
        <v>124</v>
      </c>
      <c r="C36" s="233" t="s">
        <v>77</v>
      </c>
      <c r="D36" s="233">
        <v>3109</v>
      </c>
      <c r="E36" s="233">
        <v>2025</v>
      </c>
      <c r="F36" s="233" t="s">
        <v>275</v>
      </c>
      <c r="G36" s="233">
        <v>5</v>
      </c>
      <c r="H36" s="233">
        <v>12</v>
      </c>
      <c r="I36" s="233" t="s">
        <v>715</v>
      </c>
      <c r="J36" s="234">
        <v>35723264</v>
      </c>
      <c r="K36" s="234">
        <v>5878980</v>
      </c>
      <c r="L36" s="234">
        <v>0</v>
      </c>
      <c r="M36" s="234">
        <v>75524035</v>
      </c>
      <c r="N36" s="234">
        <v>34172622</v>
      </c>
      <c r="O36" s="234">
        <v>0</v>
      </c>
      <c r="P36" s="234">
        <v>18074295</v>
      </c>
      <c r="Q36" s="242">
        <v>169373196</v>
      </c>
      <c r="R36" s="234">
        <v>42766813</v>
      </c>
      <c r="S36" s="234">
        <v>0</v>
      </c>
      <c r="T36" s="234">
        <v>0</v>
      </c>
      <c r="U36" s="234">
        <v>0</v>
      </c>
      <c r="V36" s="234">
        <v>718946987</v>
      </c>
      <c r="W36" s="234">
        <v>357358659</v>
      </c>
      <c r="X36" s="242">
        <v>361588328</v>
      </c>
      <c r="Y36" s="234">
        <v>255459464</v>
      </c>
      <c r="Z36" s="242">
        <v>659814605</v>
      </c>
      <c r="AA36" s="242">
        <v>829187801</v>
      </c>
      <c r="AB36" s="234">
        <v>13649333</v>
      </c>
      <c r="AC36" s="234">
        <v>8726948</v>
      </c>
      <c r="AD36" s="234">
        <v>3912941</v>
      </c>
      <c r="AE36" s="234">
        <v>54899707</v>
      </c>
      <c r="AF36" s="242">
        <v>81188929</v>
      </c>
      <c r="AG36" s="234">
        <v>97599242</v>
      </c>
      <c r="AH36" s="234">
        <v>0</v>
      </c>
      <c r="AI36" s="234">
        <v>5598552</v>
      </c>
      <c r="AJ36" s="242">
        <v>103197794</v>
      </c>
      <c r="AK36" s="242">
        <v>184386723</v>
      </c>
      <c r="AL36" s="234">
        <v>602027020</v>
      </c>
      <c r="AM36" s="234">
        <v>42774058</v>
      </c>
      <c r="AN36" s="234">
        <v>0</v>
      </c>
      <c r="AO36" s="242">
        <v>644801078</v>
      </c>
      <c r="AP36" s="242">
        <v>829187801</v>
      </c>
      <c r="AQ36" s="234">
        <v>749389724</v>
      </c>
      <c r="AR36" s="234">
        <v>0</v>
      </c>
      <c r="AS36" s="234">
        <v>8707450</v>
      </c>
      <c r="AT36" s="234">
        <v>5000000</v>
      </c>
      <c r="AU36" s="234">
        <v>0</v>
      </c>
      <c r="AV36" s="234">
        <v>173585</v>
      </c>
      <c r="AW36" s="242">
        <v>763270759</v>
      </c>
      <c r="AX36" s="234">
        <v>5517459</v>
      </c>
      <c r="AY36" s="234">
        <v>1162621</v>
      </c>
      <c r="AZ36" s="234">
        <v>0</v>
      </c>
      <c r="BA36" s="234">
        <v>18946938</v>
      </c>
      <c r="BB36" s="234">
        <v>0</v>
      </c>
      <c r="BC36" s="242">
        <v>25627018</v>
      </c>
      <c r="BD36" s="242">
        <v>788897777</v>
      </c>
      <c r="BE36" s="234">
        <v>365743942</v>
      </c>
      <c r="BF36" s="234">
        <v>0</v>
      </c>
      <c r="BG36" s="234">
        <v>21253260</v>
      </c>
      <c r="BH36" s="234">
        <v>853928</v>
      </c>
      <c r="BI36" s="234">
        <v>14480211</v>
      </c>
      <c r="BJ36" s="234">
        <v>299956457</v>
      </c>
      <c r="BK36" s="234">
        <v>0</v>
      </c>
      <c r="BL36" s="242">
        <v>702287798</v>
      </c>
      <c r="BM36" s="242">
        <v>86609979</v>
      </c>
      <c r="BN36" s="234">
        <v>-33849437</v>
      </c>
      <c r="BO36" s="234">
        <v>16264343</v>
      </c>
      <c r="BP36" s="234">
        <v>69024885</v>
      </c>
      <c r="BQ36" s="234">
        <v>0</v>
      </c>
      <c r="BR36" s="234">
        <v>0</v>
      </c>
      <c r="BS36" s="242">
        <v>69024885</v>
      </c>
      <c r="BT36" s="247">
        <v>7.6999999999999999E-2</v>
      </c>
      <c r="BU36" s="247">
        <v>3.2000000000000001E-2</v>
      </c>
      <c r="BV36" s="247">
        <v>0.11</v>
      </c>
      <c r="BW36" s="244">
        <v>2.1</v>
      </c>
      <c r="BX36" s="245">
        <v>37</v>
      </c>
      <c r="BY36" s="245">
        <v>39</v>
      </c>
      <c r="BZ36" s="246">
        <f t="shared" si="2"/>
        <v>3.1148736427691777</v>
      </c>
      <c r="CA36" s="247">
        <v>0.60299999999999998</v>
      </c>
      <c r="CB36" s="247">
        <v>0.77800000000000002</v>
      </c>
      <c r="CC36" s="248">
        <v>17</v>
      </c>
      <c r="CD36" s="248"/>
      <c r="CE36" s="247">
        <f t="shared" si="3"/>
        <v>0.1395019702676627</v>
      </c>
      <c r="CF36" s="242">
        <v>0</v>
      </c>
      <c r="CG36" s="247">
        <v>0</v>
      </c>
      <c r="CH36" s="247">
        <v>81609979</v>
      </c>
      <c r="CI36" s="247">
        <v>7.0999999999999994E-2</v>
      </c>
    </row>
    <row r="37" spans="1:87" s="60" customFormat="1" ht="22.8" hidden="1" x14ac:dyDescent="0.3">
      <c r="A37" s="238">
        <v>9323</v>
      </c>
      <c r="B37" s="238" t="s">
        <v>152</v>
      </c>
      <c r="C37" s="238" t="s">
        <v>83</v>
      </c>
      <c r="D37" s="238">
        <v>3791</v>
      </c>
      <c r="E37" s="238">
        <v>2025</v>
      </c>
      <c r="F37" s="238" t="s">
        <v>275</v>
      </c>
      <c r="G37" s="238">
        <v>5</v>
      </c>
      <c r="H37" s="238">
        <v>12</v>
      </c>
      <c r="I37" s="238" t="s">
        <v>715</v>
      </c>
      <c r="J37" s="239">
        <v>0</v>
      </c>
      <c r="K37" s="239">
        <v>0</v>
      </c>
      <c r="L37" s="239">
        <v>0</v>
      </c>
      <c r="M37" s="239">
        <v>0</v>
      </c>
      <c r="N37" s="239">
        <v>0</v>
      </c>
      <c r="O37" s="239">
        <v>0</v>
      </c>
      <c r="P37" s="239">
        <v>0</v>
      </c>
      <c r="Q37" s="242">
        <v>0</v>
      </c>
      <c r="R37" s="239">
        <v>0</v>
      </c>
      <c r="S37" s="239">
        <v>0</v>
      </c>
      <c r="T37" s="239">
        <v>0</v>
      </c>
      <c r="U37" s="239">
        <v>0</v>
      </c>
      <c r="V37" s="239">
        <v>0</v>
      </c>
      <c r="W37" s="239">
        <v>0</v>
      </c>
      <c r="X37" s="242">
        <v>0</v>
      </c>
      <c r="Y37" s="239">
        <v>0</v>
      </c>
      <c r="Z37" s="242">
        <v>0</v>
      </c>
      <c r="AA37" s="242">
        <v>0</v>
      </c>
      <c r="AB37" s="239">
        <v>0</v>
      </c>
      <c r="AC37" s="239">
        <v>0</v>
      </c>
      <c r="AD37" s="239">
        <v>0</v>
      </c>
      <c r="AE37" s="239">
        <v>0</v>
      </c>
      <c r="AF37" s="242">
        <v>0</v>
      </c>
      <c r="AG37" s="239">
        <v>0</v>
      </c>
      <c r="AH37" s="239">
        <v>0</v>
      </c>
      <c r="AI37" s="239">
        <v>0</v>
      </c>
      <c r="AJ37" s="242">
        <v>0</v>
      </c>
      <c r="AK37" s="242">
        <v>0</v>
      </c>
      <c r="AL37" s="239">
        <v>0</v>
      </c>
      <c r="AM37" s="239">
        <v>0</v>
      </c>
      <c r="AN37" s="239">
        <v>0</v>
      </c>
      <c r="AO37" s="242">
        <v>0</v>
      </c>
      <c r="AP37" s="242">
        <v>0</v>
      </c>
      <c r="AQ37" s="239">
        <v>66168000</v>
      </c>
      <c r="AR37" s="239">
        <v>0</v>
      </c>
      <c r="AS37" s="239">
        <v>18606000</v>
      </c>
      <c r="AT37" s="239">
        <v>0</v>
      </c>
      <c r="AU37" s="239">
        <v>0</v>
      </c>
      <c r="AV37" s="239">
        <v>0</v>
      </c>
      <c r="AW37" s="242">
        <v>84774000</v>
      </c>
      <c r="AX37" s="239">
        <v>0</v>
      </c>
      <c r="AY37" s="239">
        <v>0</v>
      </c>
      <c r="AZ37" s="239">
        <v>0</v>
      </c>
      <c r="BA37" s="239">
        <v>0</v>
      </c>
      <c r="BB37" s="239">
        <v>0</v>
      </c>
      <c r="BC37" s="242">
        <v>0</v>
      </c>
      <c r="BD37" s="242">
        <v>84774000</v>
      </c>
      <c r="BE37" s="239">
        <v>81180000</v>
      </c>
      <c r="BF37" s="239">
        <v>0</v>
      </c>
      <c r="BG37" s="239">
        <v>188000</v>
      </c>
      <c r="BH37" s="239">
        <v>0</v>
      </c>
      <c r="BI37" s="239">
        <v>0</v>
      </c>
      <c r="BJ37" s="239">
        <v>27132000</v>
      </c>
      <c r="BK37" s="239">
        <v>0</v>
      </c>
      <c r="BL37" s="242">
        <v>108500000</v>
      </c>
      <c r="BM37" s="242">
        <v>-23726000</v>
      </c>
      <c r="BN37" s="239">
        <v>18627000</v>
      </c>
      <c r="BO37" s="239">
        <v>0</v>
      </c>
      <c r="BP37" s="239">
        <v>-5099000</v>
      </c>
      <c r="BQ37" s="239">
        <v>0</v>
      </c>
      <c r="BR37" s="239">
        <v>0</v>
      </c>
      <c r="BS37" s="242">
        <v>-5099000</v>
      </c>
      <c r="BT37" s="243">
        <v>-0.28000000000000003</v>
      </c>
      <c r="BU37" s="243">
        <v>0</v>
      </c>
      <c r="BV37" s="243">
        <v>-0.28000000000000003</v>
      </c>
      <c r="BW37" s="244">
        <v>0</v>
      </c>
      <c r="BX37" s="245">
        <v>0</v>
      </c>
      <c r="BY37" s="245">
        <v>0</v>
      </c>
      <c r="BZ37" s="246">
        <f t="shared" si="2"/>
        <v>-125.20212765957447</v>
      </c>
      <c r="CA37" s="247">
        <v>0</v>
      </c>
      <c r="CB37" s="247">
        <v>0</v>
      </c>
      <c r="CC37" s="248">
        <v>0</v>
      </c>
      <c r="CD37" s="249">
        <v>0</v>
      </c>
      <c r="CE37" s="247" t="e">
        <f t="shared" si="3"/>
        <v>#DIV/0!</v>
      </c>
      <c r="CF37" s="242">
        <v>-23726000</v>
      </c>
      <c r="CG37" s="243">
        <v>-0.28000000000000003</v>
      </c>
      <c r="CH37" s="243">
        <v>0</v>
      </c>
      <c r="CI37" s="243">
        <v>-0.28000000000000003</v>
      </c>
    </row>
    <row r="38" spans="1:87" s="60" customFormat="1" ht="22.8" hidden="1" x14ac:dyDescent="0.3">
      <c r="A38" s="238">
        <v>14420</v>
      </c>
      <c r="B38" s="238" t="s">
        <v>194</v>
      </c>
      <c r="C38" s="238" t="s">
        <v>83</v>
      </c>
      <c r="D38" s="238">
        <v>12775</v>
      </c>
      <c r="E38" s="238">
        <v>2025</v>
      </c>
      <c r="F38" s="238" t="s">
        <v>275</v>
      </c>
      <c r="G38" s="238">
        <v>5</v>
      </c>
      <c r="H38" s="238">
        <v>12</v>
      </c>
      <c r="I38" s="238" t="s">
        <v>715</v>
      </c>
      <c r="J38" s="239">
        <v>0</v>
      </c>
      <c r="K38" s="239">
        <v>0</v>
      </c>
      <c r="L38" s="239">
        <v>0</v>
      </c>
      <c r="M38" s="239">
        <v>0</v>
      </c>
      <c r="N38" s="239">
        <v>0</v>
      </c>
      <c r="O38" s="239">
        <v>0</v>
      </c>
      <c r="P38" s="239">
        <v>0</v>
      </c>
      <c r="Q38" s="242">
        <v>0</v>
      </c>
      <c r="R38" s="239">
        <v>0</v>
      </c>
      <c r="S38" s="239">
        <v>0</v>
      </c>
      <c r="T38" s="239">
        <v>0</v>
      </c>
      <c r="U38" s="239">
        <v>0</v>
      </c>
      <c r="V38" s="239">
        <v>0</v>
      </c>
      <c r="W38" s="239">
        <v>0</v>
      </c>
      <c r="X38" s="242">
        <v>0</v>
      </c>
      <c r="Y38" s="239">
        <v>0</v>
      </c>
      <c r="Z38" s="242">
        <v>0</v>
      </c>
      <c r="AA38" s="242">
        <v>0</v>
      </c>
      <c r="AB38" s="239">
        <v>0</v>
      </c>
      <c r="AC38" s="239">
        <v>0</v>
      </c>
      <c r="AD38" s="239">
        <v>0</v>
      </c>
      <c r="AE38" s="239">
        <v>0</v>
      </c>
      <c r="AF38" s="242">
        <v>0</v>
      </c>
      <c r="AG38" s="239">
        <v>0</v>
      </c>
      <c r="AH38" s="239">
        <v>0</v>
      </c>
      <c r="AI38" s="239">
        <v>0</v>
      </c>
      <c r="AJ38" s="242">
        <v>0</v>
      </c>
      <c r="AK38" s="242">
        <v>0</v>
      </c>
      <c r="AL38" s="239">
        <v>0</v>
      </c>
      <c r="AM38" s="239">
        <v>0</v>
      </c>
      <c r="AN38" s="239">
        <v>0</v>
      </c>
      <c r="AO38" s="242">
        <v>0</v>
      </c>
      <c r="AP38" s="242">
        <v>0</v>
      </c>
      <c r="AQ38" s="239">
        <v>73482000</v>
      </c>
      <c r="AR38" s="239">
        <v>0</v>
      </c>
      <c r="AS38" s="239">
        <v>16788000</v>
      </c>
      <c r="AT38" s="239">
        <v>0</v>
      </c>
      <c r="AU38" s="239">
        <v>0</v>
      </c>
      <c r="AV38" s="239">
        <v>0</v>
      </c>
      <c r="AW38" s="242">
        <v>90270000</v>
      </c>
      <c r="AX38" s="239">
        <v>0</v>
      </c>
      <c r="AY38" s="239">
        <v>0</v>
      </c>
      <c r="AZ38" s="239">
        <v>0</v>
      </c>
      <c r="BA38" s="239">
        <v>0</v>
      </c>
      <c r="BB38" s="239">
        <v>0</v>
      </c>
      <c r="BC38" s="242">
        <v>0</v>
      </c>
      <c r="BD38" s="242">
        <v>90270000</v>
      </c>
      <c r="BE38" s="239">
        <v>79855000</v>
      </c>
      <c r="BF38" s="239">
        <v>0</v>
      </c>
      <c r="BG38" s="239">
        <v>476000</v>
      </c>
      <c r="BH38" s="239">
        <v>0</v>
      </c>
      <c r="BI38" s="239">
        <v>0</v>
      </c>
      <c r="BJ38" s="239">
        <v>33980000</v>
      </c>
      <c r="BK38" s="239">
        <v>0</v>
      </c>
      <c r="BL38" s="242">
        <v>114311000</v>
      </c>
      <c r="BM38" s="242">
        <v>-24041000</v>
      </c>
      <c r="BN38" s="239">
        <v>3379000</v>
      </c>
      <c r="BO38" s="239">
        <v>0</v>
      </c>
      <c r="BP38" s="239">
        <v>-20662000</v>
      </c>
      <c r="BQ38" s="239">
        <v>0</v>
      </c>
      <c r="BR38" s="239">
        <v>0</v>
      </c>
      <c r="BS38" s="242">
        <v>-20662000</v>
      </c>
      <c r="BT38" s="243">
        <v>-0.26600000000000001</v>
      </c>
      <c r="BU38" s="243">
        <v>0</v>
      </c>
      <c r="BV38" s="243">
        <v>-0.26600000000000001</v>
      </c>
      <c r="BW38" s="244">
        <v>0</v>
      </c>
      <c r="BX38" s="245">
        <v>0</v>
      </c>
      <c r="BY38" s="245">
        <v>0</v>
      </c>
      <c r="BZ38" s="246">
        <f t="shared" si="2"/>
        <v>-49.506302521008401</v>
      </c>
      <c r="CA38" s="247">
        <v>0</v>
      </c>
      <c r="CB38" s="247">
        <v>0</v>
      </c>
      <c r="CC38" s="248">
        <v>0</v>
      </c>
      <c r="CD38" s="249">
        <v>0</v>
      </c>
      <c r="CE38" s="247" t="e">
        <f t="shared" si="3"/>
        <v>#DIV/0!</v>
      </c>
      <c r="CF38" s="242">
        <v>-24041000</v>
      </c>
      <c r="CG38" s="243">
        <v>-0.26600000000000001</v>
      </c>
      <c r="CH38" s="243">
        <v>0</v>
      </c>
      <c r="CI38" s="243">
        <v>-0.26600000000000001</v>
      </c>
    </row>
    <row r="39" spans="1:87" s="60" customFormat="1" ht="22.8" hidden="1" x14ac:dyDescent="0.3">
      <c r="A39" s="233">
        <v>13120</v>
      </c>
      <c r="B39" s="233" t="s">
        <v>169</v>
      </c>
      <c r="C39" s="233" t="s">
        <v>83</v>
      </c>
      <c r="D39" s="233">
        <v>12759</v>
      </c>
      <c r="E39" s="233">
        <v>2025</v>
      </c>
      <c r="F39" s="233" t="s">
        <v>275</v>
      </c>
      <c r="G39" s="233">
        <v>5</v>
      </c>
      <c r="H39" s="233">
        <v>12</v>
      </c>
      <c r="I39" s="233" t="s">
        <v>715</v>
      </c>
      <c r="J39" s="234">
        <v>0</v>
      </c>
      <c r="K39" s="234">
        <v>0</v>
      </c>
      <c r="L39" s="234">
        <v>0</v>
      </c>
      <c r="M39" s="234">
        <v>0</v>
      </c>
      <c r="N39" s="234">
        <v>0</v>
      </c>
      <c r="O39" s="234">
        <v>0</v>
      </c>
      <c r="P39" s="234">
        <v>0</v>
      </c>
      <c r="Q39" s="242">
        <v>0</v>
      </c>
      <c r="R39" s="234">
        <v>0</v>
      </c>
      <c r="S39" s="234">
        <v>0</v>
      </c>
      <c r="T39" s="234">
        <v>0</v>
      </c>
      <c r="U39" s="234">
        <v>0</v>
      </c>
      <c r="V39" s="234">
        <v>0</v>
      </c>
      <c r="W39" s="234">
        <v>0</v>
      </c>
      <c r="X39" s="242">
        <v>0</v>
      </c>
      <c r="Y39" s="234">
        <v>0</v>
      </c>
      <c r="Z39" s="242">
        <v>0</v>
      </c>
      <c r="AA39" s="242">
        <v>0</v>
      </c>
      <c r="AB39" s="234">
        <v>0</v>
      </c>
      <c r="AC39" s="234">
        <v>0</v>
      </c>
      <c r="AD39" s="234">
        <v>0</v>
      </c>
      <c r="AE39" s="234">
        <v>0</v>
      </c>
      <c r="AF39" s="242">
        <v>0</v>
      </c>
      <c r="AG39" s="234">
        <v>0</v>
      </c>
      <c r="AH39" s="234">
        <v>0</v>
      </c>
      <c r="AI39" s="234">
        <v>0</v>
      </c>
      <c r="AJ39" s="242">
        <v>0</v>
      </c>
      <c r="AK39" s="242">
        <v>0</v>
      </c>
      <c r="AL39" s="234">
        <v>0</v>
      </c>
      <c r="AM39" s="234">
        <v>0</v>
      </c>
      <c r="AN39" s="234">
        <v>0</v>
      </c>
      <c r="AO39" s="242">
        <v>0</v>
      </c>
      <c r="AP39" s="242">
        <v>0</v>
      </c>
      <c r="AQ39" s="234">
        <v>96496338</v>
      </c>
      <c r="AR39" s="234">
        <v>0</v>
      </c>
      <c r="AS39" s="234">
        <v>10893900</v>
      </c>
      <c r="AT39" s="234">
        <v>0</v>
      </c>
      <c r="AU39" s="234">
        <v>0</v>
      </c>
      <c r="AV39" s="234">
        <v>0</v>
      </c>
      <c r="AW39" s="242">
        <v>107390238</v>
      </c>
      <c r="AX39" s="234">
        <v>0</v>
      </c>
      <c r="AY39" s="234">
        <v>0</v>
      </c>
      <c r="AZ39" s="234">
        <v>-1825</v>
      </c>
      <c r="BA39" s="234">
        <v>-200220</v>
      </c>
      <c r="BB39" s="234">
        <v>0</v>
      </c>
      <c r="BC39" s="242">
        <v>-202045</v>
      </c>
      <c r="BD39" s="242">
        <v>107188193</v>
      </c>
      <c r="BE39" s="234">
        <v>84284261</v>
      </c>
      <c r="BF39" s="234">
        <v>0</v>
      </c>
      <c r="BG39" s="234">
        <v>2484751</v>
      </c>
      <c r="BH39" s="234">
        <v>1521468</v>
      </c>
      <c r="BI39" s="234">
        <v>0</v>
      </c>
      <c r="BJ39" s="234">
        <v>37283504</v>
      </c>
      <c r="BK39" s="234">
        <v>0</v>
      </c>
      <c r="BL39" s="242">
        <v>125573984</v>
      </c>
      <c r="BM39" s="242">
        <v>-18385791</v>
      </c>
      <c r="BN39" s="234">
        <v>0</v>
      </c>
      <c r="BO39" s="234">
        <v>0</v>
      </c>
      <c r="BP39" s="234">
        <v>-18385791</v>
      </c>
      <c r="BQ39" s="234">
        <v>0</v>
      </c>
      <c r="BR39" s="234">
        <v>0</v>
      </c>
      <c r="BS39" s="242">
        <v>-18385791</v>
      </c>
      <c r="BT39" s="243">
        <v>-0.17</v>
      </c>
      <c r="BU39" s="243">
        <v>-2E-3</v>
      </c>
      <c r="BV39" s="243">
        <v>-0.17199999999999999</v>
      </c>
      <c r="BW39" s="244">
        <v>0</v>
      </c>
      <c r="BX39" s="245">
        <v>0</v>
      </c>
      <c r="BY39" s="245">
        <v>0</v>
      </c>
      <c r="BZ39" s="246">
        <f t="shared" si="2"/>
        <v>-5.7863934857054087</v>
      </c>
      <c r="CA39" s="247">
        <v>0</v>
      </c>
      <c r="CB39" s="247">
        <v>0</v>
      </c>
      <c r="CC39" s="248">
        <v>0</v>
      </c>
      <c r="CD39" s="249">
        <v>0</v>
      </c>
      <c r="CE39" s="247" t="e">
        <f t="shared" si="3"/>
        <v>#DIV/0!</v>
      </c>
      <c r="CF39" s="242">
        <v>-18385791</v>
      </c>
      <c r="CG39" s="243">
        <v>-0.17</v>
      </c>
      <c r="CH39" s="243">
        <v>-2E-3</v>
      </c>
      <c r="CI39" s="243">
        <v>-0.17199999999999999</v>
      </c>
    </row>
    <row r="40" spans="1:87" s="60" customFormat="1" ht="22.8" hidden="1" x14ac:dyDescent="0.3">
      <c r="A40" s="233">
        <v>13118</v>
      </c>
      <c r="B40" s="233" t="s">
        <v>140</v>
      </c>
      <c r="C40" s="233" t="s">
        <v>83</v>
      </c>
      <c r="D40" s="233">
        <v>13156</v>
      </c>
      <c r="E40" s="233">
        <v>2025</v>
      </c>
      <c r="F40" s="233" t="s">
        <v>275</v>
      </c>
      <c r="G40" s="233">
        <v>5</v>
      </c>
      <c r="H40" s="233">
        <v>12</v>
      </c>
      <c r="I40" s="233" t="s">
        <v>715</v>
      </c>
      <c r="J40" s="234">
        <v>0</v>
      </c>
      <c r="K40" s="234">
        <v>0</v>
      </c>
      <c r="L40" s="234">
        <v>0</v>
      </c>
      <c r="M40" s="234">
        <v>0</v>
      </c>
      <c r="N40" s="234">
        <v>0</v>
      </c>
      <c r="O40" s="234">
        <v>0</v>
      </c>
      <c r="P40" s="234">
        <v>0</v>
      </c>
      <c r="Q40" s="242">
        <v>0</v>
      </c>
      <c r="R40" s="234">
        <v>0</v>
      </c>
      <c r="S40" s="234">
        <v>0</v>
      </c>
      <c r="T40" s="234">
        <v>0</v>
      </c>
      <c r="U40" s="234">
        <v>0</v>
      </c>
      <c r="V40" s="234">
        <v>0</v>
      </c>
      <c r="W40" s="234">
        <v>0</v>
      </c>
      <c r="X40" s="242">
        <v>0</v>
      </c>
      <c r="Y40" s="234">
        <v>0</v>
      </c>
      <c r="Z40" s="242">
        <v>0</v>
      </c>
      <c r="AA40" s="242">
        <v>0</v>
      </c>
      <c r="AB40" s="234">
        <v>0</v>
      </c>
      <c r="AC40" s="234">
        <v>0</v>
      </c>
      <c r="AD40" s="234">
        <v>0</v>
      </c>
      <c r="AE40" s="234">
        <v>0</v>
      </c>
      <c r="AF40" s="242">
        <v>0</v>
      </c>
      <c r="AG40" s="234">
        <v>0</v>
      </c>
      <c r="AH40" s="234">
        <v>0</v>
      </c>
      <c r="AI40" s="234">
        <v>0</v>
      </c>
      <c r="AJ40" s="242">
        <v>0</v>
      </c>
      <c r="AK40" s="242">
        <v>0</v>
      </c>
      <c r="AL40" s="234">
        <v>0</v>
      </c>
      <c r="AM40" s="234">
        <v>0</v>
      </c>
      <c r="AN40" s="234">
        <v>0</v>
      </c>
      <c r="AO40" s="242">
        <v>0</v>
      </c>
      <c r="AP40" s="242">
        <v>0</v>
      </c>
      <c r="AQ40" s="234">
        <v>14783000</v>
      </c>
      <c r="AR40" s="234">
        <v>0</v>
      </c>
      <c r="AS40" s="234">
        <v>6613000</v>
      </c>
      <c r="AT40" s="234">
        <v>0</v>
      </c>
      <c r="AU40" s="234">
        <v>0</v>
      </c>
      <c r="AV40" s="234">
        <v>0</v>
      </c>
      <c r="AW40" s="242">
        <v>21396000</v>
      </c>
      <c r="AX40" s="234">
        <v>0</v>
      </c>
      <c r="AY40" s="234">
        <v>0</v>
      </c>
      <c r="AZ40" s="234">
        <v>0</v>
      </c>
      <c r="BA40" s="234">
        <v>0</v>
      </c>
      <c r="BB40" s="234">
        <v>0</v>
      </c>
      <c r="BC40" s="242">
        <v>0</v>
      </c>
      <c r="BD40" s="242">
        <v>21396000</v>
      </c>
      <c r="BE40" s="234">
        <v>30678000</v>
      </c>
      <c r="BF40" s="234">
        <v>0</v>
      </c>
      <c r="BG40" s="234">
        <v>177000</v>
      </c>
      <c r="BH40" s="234">
        <v>0</v>
      </c>
      <c r="BI40" s="234">
        <v>0</v>
      </c>
      <c r="BJ40" s="234">
        <v>9148000</v>
      </c>
      <c r="BK40" s="234">
        <v>0</v>
      </c>
      <c r="BL40" s="242">
        <v>40003000</v>
      </c>
      <c r="BM40" s="242">
        <v>-18607000</v>
      </c>
      <c r="BN40" s="234">
        <v>0</v>
      </c>
      <c r="BO40" s="234">
        <v>21353000</v>
      </c>
      <c r="BP40" s="234">
        <v>2746000</v>
      </c>
      <c r="BQ40" s="234">
        <v>0</v>
      </c>
      <c r="BR40" s="234">
        <v>0</v>
      </c>
      <c r="BS40" s="242">
        <v>2746000</v>
      </c>
      <c r="BT40" s="243">
        <v>-0.87</v>
      </c>
      <c r="BU40" s="243">
        <v>0</v>
      </c>
      <c r="BV40" s="243">
        <v>-0.87</v>
      </c>
      <c r="BW40" s="244">
        <v>0</v>
      </c>
      <c r="BX40" s="245">
        <v>0</v>
      </c>
      <c r="BY40" s="245">
        <v>0</v>
      </c>
      <c r="BZ40" s="246">
        <f t="shared" si="2"/>
        <v>-104.12429378531074</v>
      </c>
      <c r="CA40" s="247">
        <v>0</v>
      </c>
      <c r="CB40" s="247">
        <v>0</v>
      </c>
      <c r="CC40" s="248">
        <v>0</v>
      </c>
      <c r="CD40" s="249">
        <v>0</v>
      </c>
      <c r="CE40" s="247" t="e">
        <f t="shared" si="3"/>
        <v>#DIV/0!</v>
      </c>
      <c r="CF40" s="242">
        <v>-18607000</v>
      </c>
      <c r="CG40" s="243">
        <v>-0.87</v>
      </c>
      <c r="CH40" s="243">
        <v>0</v>
      </c>
      <c r="CI40" s="243">
        <v>-0.87</v>
      </c>
    </row>
    <row r="41" spans="1:87" s="60" customFormat="1" ht="22.8" hidden="1" x14ac:dyDescent="0.3">
      <c r="A41" s="238">
        <v>11761</v>
      </c>
      <c r="B41" s="238" t="s">
        <v>103</v>
      </c>
      <c r="C41" s="238" t="s">
        <v>83</v>
      </c>
      <c r="D41" s="238">
        <v>16665</v>
      </c>
      <c r="E41" s="238">
        <v>2025</v>
      </c>
      <c r="F41" s="238" t="s">
        <v>275</v>
      </c>
      <c r="G41" s="238">
        <v>5</v>
      </c>
      <c r="H41" s="238">
        <v>12</v>
      </c>
      <c r="I41" s="238" t="s">
        <v>715</v>
      </c>
      <c r="J41" s="239">
        <v>0</v>
      </c>
      <c r="K41" s="239">
        <v>0</v>
      </c>
      <c r="L41" s="239">
        <v>0</v>
      </c>
      <c r="M41" s="239">
        <v>0</v>
      </c>
      <c r="N41" s="239">
        <v>0</v>
      </c>
      <c r="O41" s="239">
        <v>0</v>
      </c>
      <c r="P41" s="239">
        <v>0</v>
      </c>
      <c r="Q41" s="242">
        <v>0</v>
      </c>
      <c r="R41" s="239">
        <v>0</v>
      </c>
      <c r="S41" s="239">
        <v>0</v>
      </c>
      <c r="T41" s="239">
        <v>0</v>
      </c>
      <c r="U41" s="239">
        <v>0</v>
      </c>
      <c r="V41" s="239">
        <v>0</v>
      </c>
      <c r="W41" s="239">
        <v>0</v>
      </c>
      <c r="X41" s="242">
        <v>0</v>
      </c>
      <c r="Y41" s="239">
        <v>0</v>
      </c>
      <c r="Z41" s="242">
        <v>0</v>
      </c>
      <c r="AA41" s="242">
        <v>0</v>
      </c>
      <c r="AB41" s="239">
        <v>0</v>
      </c>
      <c r="AC41" s="239">
        <v>0</v>
      </c>
      <c r="AD41" s="239">
        <v>0</v>
      </c>
      <c r="AE41" s="239">
        <v>0</v>
      </c>
      <c r="AF41" s="242">
        <v>0</v>
      </c>
      <c r="AG41" s="239">
        <v>0</v>
      </c>
      <c r="AH41" s="239">
        <v>0</v>
      </c>
      <c r="AI41" s="239">
        <v>0</v>
      </c>
      <c r="AJ41" s="242">
        <v>0</v>
      </c>
      <c r="AK41" s="242">
        <v>0</v>
      </c>
      <c r="AL41" s="239">
        <v>0</v>
      </c>
      <c r="AM41" s="239">
        <v>0</v>
      </c>
      <c r="AN41" s="239">
        <v>0</v>
      </c>
      <c r="AO41" s="242">
        <v>0</v>
      </c>
      <c r="AP41" s="242">
        <v>0</v>
      </c>
      <c r="AQ41" s="239">
        <v>2590000</v>
      </c>
      <c r="AR41" s="239">
        <v>0</v>
      </c>
      <c r="AS41" s="239">
        <v>255000</v>
      </c>
      <c r="AT41" s="239">
        <v>0</v>
      </c>
      <c r="AU41" s="239">
        <v>0</v>
      </c>
      <c r="AV41" s="239">
        <v>0</v>
      </c>
      <c r="AW41" s="242">
        <v>2845000</v>
      </c>
      <c r="AX41" s="239">
        <v>0</v>
      </c>
      <c r="AY41" s="239">
        <v>0</v>
      </c>
      <c r="AZ41" s="239">
        <v>0</v>
      </c>
      <c r="BA41" s="239">
        <v>0</v>
      </c>
      <c r="BB41" s="239">
        <v>0</v>
      </c>
      <c r="BC41" s="242">
        <v>0</v>
      </c>
      <c r="BD41" s="242">
        <v>2845000</v>
      </c>
      <c r="BE41" s="239">
        <v>5981000</v>
      </c>
      <c r="BF41" s="239">
        <v>0</v>
      </c>
      <c r="BG41" s="239">
        <v>45000</v>
      </c>
      <c r="BH41" s="239">
        <v>0</v>
      </c>
      <c r="BI41" s="239">
        <v>0</v>
      </c>
      <c r="BJ41" s="239">
        <v>1330000</v>
      </c>
      <c r="BK41" s="239">
        <v>0</v>
      </c>
      <c r="BL41" s="242">
        <v>7356000</v>
      </c>
      <c r="BM41" s="242">
        <v>-4511000</v>
      </c>
      <c r="BN41" s="239">
        <v>0</v>
      </c>
      <c r="BO41" s="239">
        <v>0</v>
      </c>
      <c r="BP41" s="239">
        <v>-4511000</v>
      </c>
      <c r="BQ41" s="239">
        <v>0</v>
      </c>
      <c r="BR41" s="239">
        <v>0</v>
      </c>
      <c r="BS41" s="242">
        <v>-4511000</v>
      </c>
      <c r="BT41" s="243">
        <v>-1.5860000000000001</v>
      </c>
      <c r="BU41" s="243">
        <v>0</v>
      </c>
      <c r="BV41" s="243">
        <v>-1.5860000000000001</v>
      </c>
      <c r="BW41" s="244">
        <v>0</v>
      </c>
      <c r="BX41" s="245">
        <v>0</v>
      </c>
      <c r="BY41" s="245">
        <v>0</v>
      </c>
      <c r="BZ41" s="246">
        <f t="shared" si="2"/>
        <v>-99.24444444444444</v>
      </c>
      <c r="CA41" s="247">
        <v>0</v>
      </c>
      <c r="CB41" s="247">
        <v>0</v>
      </c>
      <c r="CC41" s="248">
        <v>0</v>
      </c>
      <c r="CD41" s="249">
        <v>0</v>
      </c>
      <c r="CE41" s="247" t="e">
        <f t="shared" si="3"/>
        <v>#DIV/0!</v>
      </c>
      <c r="CF41" s="242">
        <v>-4511000</v>
      </c>
      <c r="CG41" s="243">
        <v>-1.5860000000000001</v>
      </c>
      <c r="CH41" s="243">
        <v>0</v>
      </c>
      <c r="CI41" s="243">
        <v>-1.5860000000000001</v>
      </c>
    </row>
    <row r="42" spans="1:87" s="60" customFormat="1" ht="22.8" x14ac:dyDescent="0.3">
      <c r="A42" s="238">
        <v>50</v>
      </c>
      <c r="B42" s="238" t="s">
        <v>144</v>
      </c>
      <c r="C42" s="238" t="s">
        <v>77</v>
      </c>
      <c r="D42" s="238">
        <v>3791</v>
      </c>
      <c r="E42" s="238">
        <v>2025</v>
      </c>
      <c r="F42" s="238" t="s">
        <v>275</v>
      </c>
      <c r="G42" s="238">
        <v>5</v>
      </c>
      <c r="H42" s="238">
        <v>12</v>
      </c>
      <c r="I42" s="238" t="s">
        <v>715</v>
      </c>
      <c r="J42" s="239">
        <v>-22875000</v>
      </c>
      <c r="K42" s="239">
        <v>-16649000</v>
      </c>
      <c r="L42" s="239">
        <v>6352000</v>
      </c>
      <c r="M42" s="239">
        <v>28406000</v>
      </c>
      <c r="N42" s="239">
        <v>19838000</v>
      </c>
      <c r="O42" s="239">
        <v>0</v>
      </c>
      <c r="P42" s="239">
        <v>9913000</v>
      </c>
      <c r="Q42" s="242">
        <v>24985000</v>
      </c>
      <c r="R42" s="239">
        <v>15723000</v>
      </c>
      <c r="S42" s="239">
        <v>821000</v>
      </c>
      <c r="T42" s="239">
        <v>0</v>
      </c>
      <c r="U42" s="239">
        <v>0</v>
      </c>
      <c r="V42" s="239">
        <v>229074000</v>
      </c>
      <c r="W42" s="239">
        <v>148984000</v>
      </c>
      <c r="X42" s="242">
        <v>80090000</v>
      </c>
      <c r="Y42" s="239">
        <v>26614000</v>
      </c>
      <c r="Z42" s="242">
        <v>123248000</v>
      </c>
      <c r="AA42" s="242">
        <v>148233000</v>
      </c>
      <c r="AB42" s="239">
        <v>3669000</v>
      </c>
      <c r="AC42" s="239">
        <v>8525000</v>
      </c>
      <c r="AD42" s="239">
        <v>29690000</v>
      </c>
      <c r="AE42" s="239">
        <v>32676000</v>
      </c>
      <c r="AF42" s="242">
        <v>74560000</v>
      </c>
      <c r="AG42" s="239">
        <v>35066000</v>
      </c>
      <c r="AH42" s="239">
        <v>0</v>
      </c>
      <c r="AI42" s="239">
        <v>20544000</v>
      </c>
      <c r="AJ42" s="242">
        <v>55610000</v>
      </c>
      <c r="AK42" s="242">
        <v>130170000</v>
      </c>
      <c r="AL42" s="239">
        <v>-3071000</v>
      </c>
      <c r="AM42" s="239">
        <v>21134000</v>
      </c>
      <c r="AN42" s="239">
        <v>0</v>
      </c>
      <c r="AO42" s="242">
        <v>18063000</v>
      </c>
      <c r="AP42" s="242">
        <v>148233000</v>
      </c>
      <c r="AQ42" s="239">
        <v>298368000</v>
      </c>
      <c r="AR42" s="239">
        <v>0</v>
      </c>
      <c r="AS42" s="239">
        <v>5175000</v>
      </c>
      <c r="AT42" s="239">
        <v>0</v>
      </c>
      <c r="AU42" s="239">
        <v>0</v>
      </c>
      <c r="AV42" s="239">
        <v>0</v>
      </c>
      <c r="AW42" s="242">
        <v>303543000</v>
      </c>
      <c r="AX42" s="239">
        <v>307000</v>
      </c>
      <c r="AY42" s="239">
        <v>-1561000</v>
      </c>
      <c r="AZ42" s="239">
        <v>167000</v>
      </c>
      <c r="BA42" s="239">
        <v>0</v>
      </c>
      <c r="BB42" s="239">
        <v>-4448000</v>
      </c>
      <c r="BC42" s="242">
        <v>-5535000</v>
      </c>
      <c r="BD42" s="242">
        <v>298008000</v>
      </c>
      <c r="BE42" s="239">
        <v>133641000</v>
      </c>
      <c r="BF42" s="239">
        <v>0</v>
      </c>
      <c r="BG42" s="239">
        <v>10870000</v>
      </c>
      <c r="BH42" s="239">
        <v>1066000</v>
      </c>
      <c r="BI42" s="239">
        <v>1413000</v>
      </c>
      <c r="BJ42" s="239">
        <v>139757000</v>
      </c>
      <c r="BK42" s="239">
        <v>0</v>
      </c>
      <c r="BL42" s="242">
        <v>286747000</v>
      </c>
      <c r="BM42" s="242">
        <v>11261000</v>
      </c>
      <c r="BN42" s="239">
        <v>-17276000</v>
      </c>
      <c r="BO42" s="239">
        <v>46000</v>
      </c>
      <c r="BP42" s="239">
        <v>-5969000</v>
      </c>
      <c r="BQ42" s="239">
        <v>0</v>
      </c>
      <c r="BR42" s="239">
        <v>0</v>
      </c>
      <c r="BS42" s="242">
        <v>-5969000</v>
      </c>
      <c r="BT42" s="243">
        <v>5.6000000000000001E-2</v>
      </c>
      <c r="BU42" s="243">
        <v>-1.9E-2</v>
      </c>
      <c r="BV42" s="243">
        <v>3.7999999999999999E-2</v>
      </c>
      <c r="BW42" s="244">
        <v>0.3</v>
      </c>
      <c r="BX42" s="245">
        <v>35</v>
      </c>
      <c r="BY42" s="245">
        <v>87</v>
      </c>
      <c r="BZ42" s="246">
        <f t="shared" si="2"/>
        <v>1.5840154068367838</v>
      </c>
      <c r="CA42" s="247">
        <v>0.20200000000000001</v>
      </c>
      <c r="CB42" s="247">
        <v>0.122</v>
      </c>
      <c r="CC42" s="248">
        <v>14</v>
      </c>
      <c r="CD42" s="249">
        <v>-52</v>
      </c>
      <c r="CE42" s="247">
        <f t="shared" si="3"/>
        <v>1.0959837474605407</v>
      </c>
      <c r="CF42" s="242">
        <v>11261000</v>
      </c>
      <c r="CG42" s="243">
        <v>5.6000000000000001E-2</v>
      </c>
      <c r="CH42" s="243">
        <v>-1.9E-2</v>
      </c>
      <c r="CI42" s="243">
        <v>3.7999999999999999E-2</v>
      </c>
    </row>
    <row r="43" spans="1:87" s="60" customFormat="1" ht="22.8" x14ac:dyDescent="0.3">
      <c r="A43" s="238">
        <v>51</v>
      </c>
      <c r="B43" s="238" t="s">
        <v>129</v>
      </c>
      <c r="C43" s="238" t="s">
        <v>77</v>
      </c>
      <c r="D43" s="238">
        <v>13155</v>
      </c>
      <c r="E43" s="238">
        <v>2025</v>
      </c>
      <c r="F43" s="238" t="s">
        <v>275</v>
      </c>
      <c r="G43" s="238">
        <v>5</v>
      </c>
      <c r="H43" s="238">
        <v>12</v>
      </c>
      <c r="I43" s="238" t="s">
        <v>715</v>
      </c>
      <c r="J43" s="239">
        <v>112580861.404</v>
      </c>
      <c r="K43" s="239">
        <v>0</v>
      </c>
      <c r="L43" s="239">
        <v>730900.04</v>
      </c>
      <c r="M43" s="239">
        <v>296328514.17400002</v>
      </c>
      <c r="N43" s="239">
        <v>0</v>
      </c>
      <c r="O43" s="239">
        <v>0</v>
      </c>
      <c r="P43" s="239">
        <v>417563195.00999999</v>
      </c>
      <c r="Q43" s="242">
        <v>827203470.62800002</v>
      </c>
      <c r="R43" s="239">
        <v>0</v>
      </c>
      <c r="S43" s="239">
        <v>45372605.18</v>
      </c>
      <c r="T43" s="239">
        <v>0</v>
      </c>
      <c r="U43" s="239">
        <v>0</v>
      </c>
      <c r="V43" s="239">
        <v>2383471357.2800002</v>
      </c>
      <c r="W43" s="239">
        <v>1294235552.0899999</v>
      </c>
      <c r="X43" s="242">
        <v>1089235805.1900001</v>
      </c>
      <c r="Y43" s="239">
        <v>4023841416.5300002</v>
      </c>
      <c r="Z43" s="242">
        <v>5158449826.8999996</v>
      </c>
      <c r="AA43" s="242">
        <v>5985653297.5279999</v>
      </c>
      <c r="AB43" s="239">
        <v>7742735.7800000003</v>
      </c>
      <c r="AC43" s="239">
        <v>70494751.530000001</v>
      </c>
      <c r="AD43" s="239">
        <v>0</v>
      </c>
      <c r="AE43" s="239">
        <v>477854899.30800003</v>
      </c>
      <c r="AF43" s="242">
        <v>556092386.61800003</v>
      </c>
      <c r="AG43" s="239">
        <v>529798108.51999998</v>
      </c>
      <c r="AH43" s="239">
        <v>0</v>
      </c>
      <c r="AI43" s="239">
        <v>422141704.83999997</v>
      </c>
      <c r="AJ43" s="242">
        <v>951939813.36000001</v>
      </c>
      <c r="AK43" s="242">
        <v>1508032199.9779999</v>
      </c>
      <c r="AL43" s="239">
        <v>2362618000</v>
      </c>
      <c r="AM43" s="239">
        <v>1769600823.8789999</v>
      </c>
      <c r="AN43" s="239">
        <v>345402273</v>
      </c>
      <c r="AO43" s="242">
        <v>4477621096.8789997</v>
      </c>
      <c r="AP43" s="242">
        <v>5985653296.8570004</v>
      </c>
      <c r="AQ43" s="239">
        <v>3033648379.5100002</v>
      </c>
      <c r="AR43" s="239">
        <v>0</v>
      </c>
      <c r="AS43" s="239">
        <v>339052358.06</v>
      </c>
      <c r="AT43" s="239">
        <v>0</v>
      </c>
      <c r="AU43" s="239">
        <v>0</v>
      </c>
      <c r="AV43" s="239">
        <v>194545690.99000001</v>
      </c>
      <c r="AW43" s="242">
        <v>3567246428.5599999</v>
      </c>
      <c r="AX43" s="239">
        <v>6447838.8899999997</v>
      </c>
      <c r="AY43" s="239">
        <v>372210700.26999998</v>
      </c>
      <c r="AZ43" s="239">
        <v>128244602.62</v>
      </c>
      <c r="BA43" s="239">
        <v>101924390.95999999</v>
      </c>
      <c r="BB43" s="239">
        <v>0</v>
      </c>
      <c r="BC43" s="242">
        <v>608827532.74000001</v>
      </c>
      <c r="BD43" s="242">
        <v>4176073961.3000002</v>
      </c>
      <c r="BE43" s="239">
        <v>1212183858.97</v>
      </c>
      <c r="BF43" s="239">
        <v>0</v>
      </c>
      <c r="BG43" s="239">
        <v>99074640.209999993</v>
      </c>
      <c r="BH43" s="239">
        <v>17469439.390000001</v>
      </c>
      <c r="BI43" s="239">
        <v>20795017</v>
      </c>
      <c r="BJ43" s="239">
        <v>2491074837.8200002</v>
      </c>
      <c r="BK43" s="239">
        <v>0</v>
      </c>
      <c r="BL43" s="242">
        <v>3840597793.3899999</v>
      </c>
      <c r="BM43" s="242">
        <v>335476167.90999901</v>
      </c>
      <c r="BN43" s="239">
        <v>0</v>
      </c>
      <c r="BO43" s="239">
        <v>26042864.489999902</v>
      </c>
      <c r="BP43" s="239">
        <v>361519032.39999902</v>
      </c>
      <c r="BQ43" s="239">
        <v>-59494</v>
      </c>
      <c r="BR43" s="239">
        <v>0</v>
      </c>
      <c r="BS43" s="242">
        <v>361459538.39999902</v>
      </c>
      <c r="BT43" s="243">
        <v>-6.5000000000000002E-2</v>
      </c>
      <c r="BU43" s="243">
        <v>0.14599999999999999</v>
      </c>
      <c r="BV43" s="243">
        <v>0.08</v>
      </c>
      <c r="BW43" s="244">
        <v>1.5</v>
      </c>
      <c r="BX43" s="245">
        <v>36</v>
      </c>
      <c r="BY43" s="245">
        <v>47</v>
      </c>
      <c r="BZ43" s="246">
        <f t="shared" si="2"/>
        <v>3.0311140101429763</v>
      </c>
      <c r="CA43" s="247">
        <v>0.4</v>
      </c>
      <c r="CB43" s="247">
        <v>0.748</v>
      </c>
      <c r="CC43" s="248">
        <v>13</v>
      </c>
      <c r="CD43" s="249">
        <v>11</v>
      </c>
      <c r="CE43" s="247">
        <f t="shared" si="3"/>
        <v>0.18316801201577065</v>
      </c>
      <c r="CF43" s="242">
        <v>335476167.90999901</v>
      </c>
      <c r="CG43" s="243">
        <v>-6.5000000000000002E-2</v>
      </c>
      <c r="CH43" s="243">
        <v>0.14599999999999999</v>
      </c>
      <c r="CI43" s="243">
        <v>0.08</v>
      </c>
    </row>
    <row r="44" spans="1:87" s="60" customFormat="1" ht="34.200000000000003" hidden="1" x14ac:dyDescent="0.3">
      <c r="A44" s="233">
        <v>13155</v>
      </c>
      <c r="B44" s="233" t="s">
        <v>127</v>
      </c>
      <c r="C44" s="233" t="s">
        <v>75</v>
      </c>
      <c r="D44" s="233">
        <v>13155</v>
      </c>
      <c r="E44" s="233">
        <v>2025</v>
      </c>
      <c r="F44" s="233" t="s">
        <v>275</v>
      </c>
      <c r="G44" s="233">
        <v>5</v>
      </c>
      <c r="H44" s="233">
        <v>12</v>
      </c>
      <c r="I44" s="233" t="s">
        <v>715</v>
      </c>
      <c r="J44" s="234">
        <v>121275037.714</v>
      </c>
      <c r="K44" s="234">
        <v>0</v>
      </c>
      <c r="L44" s="234">
        <v>730900.04</v>
      </c>
      <c r="M44" s="234">
        <v>296328514.17400002</v>
      </c>
      <c r="N44" s="234">
        <v>0</v>
      </c>
      <c r="O44" s="234">
        <v>0</v>
      </c>
      <c r="P44" s="234">
        <v>415263261.94</v>
      </c>
      <c r="Q44" s="242">
        <v>833597713.86800003</v>
      </c>
      <c r="R44" s="234">
        <v>0</v>
      </c>
      <c r="S44" s="234">
        <v>45372605.18</v>
      </c>
      <c r="T44" s="234">
        <v>0</v>
      </c>
      <c r="U44" s="234">
        <v>0</v>
      </c>
      <c r="V44" s="234">
        <v>2383471357.2800002</v>
      </c>
      <c r="W44" s="234">
        <v>1294235552.0899999</v>
      </c>
      <c r="X44" s="242">
        <v>1089235805.1900001</v>
      </c>
      <c r="Y44" s="234">
        <v>4025869651.5300002</v>
      </c>
      <c r="Z44" s="242">
        <v>5160478061.8999996</v>
      </c>
      <c r="AA44" s="242">
        <v>5994075775.7679996</v>
      </c>
      <c r="AB44" s="234">
        <v>7742735.7800000003</v>
      </c>
      <c r="AC44" s="234">
        <v>70494751.530000001</v>
      </c>
      <c r="AD44" s="234">
        <v>0</v>
      </c>
      <c r="AE44" s="234">
        <v>478743222.30800003</v>
      </c>
      <c r="AF44" s="242">
        <v>556980709.61800003</v>
      </c>
      <c r="AG44" s="234">
        <v>529798108.51999998</v>
      </c>
      <c r="AH44" s="234">
        <v>0</v>
      </c>
      <c r="AI44" s="234">
        <v>422141704.83999997</v>
      </c>
      <c r="AJ44" s="242">
        <v>951939813.36000001</v>
      </c>
      <c r="AK44" s="242">
        <v>1508920522.9779999</v>
      </c>
      <c r="AL44" s="234">
        <v>2370153000</v>
      </c>
      <c r="AM44" s="234">
        <v>1769600823.8789999</v>
      </c>
      <c r="AN44" s="234">
        <v>345401429</v>
      </c>
      <c r="AO44" s="242">
        <v>4485155252.8789997</v>
      </c>
      <c r="AP44" s="242">
        <v>5994075775.8570004</v>
      </c>
      <c r="AQ44" s="234">
        <v>3033648379.5100002</v>
      </c>
      <c r="AR44" s="234">
        <v>0</v>
      </c>
      <c r="AS44" s="234">
        <v>343240310.06</v>
      </c>
      <c r="AT44" s="234">
        <v>0</v>
      </c>
      <c r="AU44" s="234">
        <v>0</v>
      </c>
      <c r="AV44" s="234">
        <v>194545690.99000001</v>
      </c>
      <c r="AW44" s="242">
        <v>3571434380.5599999</v>
      </c>
      <c r="AX44" s="234">
        <v>6447838.8899999997</v>
      </c>
      <c r="AY44" s="234">
        <v>372210700.26999998</v>
      </c>
      <c r="AZ44" s="234">
        <v>128244602.62</v>
      </c>
      <c r="BA44" s="234">
        <v>101924390.95999999</v>
      </c>
      <c r="BB44" s="234">
        <v>0</v>
      </c>
      <c r="BC44" s="242">
        <v>608827532.74000001</v>
      </c>
      <c r="BD44" s="242">
        <v>4180261913.3000002</v>
      </c>
      <c r="BE44" s="234">
        <v>1212731474.98</v>
      </c>
      <c r="BF44" s="234">
        <v>0</v>
      </c>
      <c r="BG44" s="234">
        <v>99074640.209999993</v>
      </c>
      <c r="BH44" s="234">
        <v>17469439.390000001</v>
      </c>
      <c r="BI44" s="234">
        <v>20795017</v>
      </c>
      <c r="BJ44" s="234">
        <v>2491221336.9499998</v>
      </c>
      <c r="BK44" s="234">
        <v>0</v>
      </c>
      <c r="BL44" s="242">
        <v>3841291908.5300002</v>
      </c>
      <c r="BM44" s="242">
        <v>338970004.76999903</v>
      </c>
      <c r="BN44" s="234">
        <v>0</v>
      </c>
      <c r="BO44" s="234">
        <v>26042864.489999902</v>
      </c>
      <c r="BP44" s="234">
        <v>365012869.25999898</v>
      </c>
      <c r="BQ44" s="234">
        <v>-59494</v>
      </c>
      <c r="BR44" s="234">
        <v>0</v>
      </c>
      <c r="BS44" s="242">
        <v>364953375.25999898</v>
      </c>
      <c r="BT44" s="243">
        <v>-6.5000000000000002E-2</v>
      </c>
      <c r="BU44" s="243">
        <v>0.14599999999999999</v>
      </c>
      <c r="BV44" s="243">
        <v>8.1000000000000003E-2</v>
      </c>
      <c r="BW44" s="244">
        <v>1.5</v>
      </c>
      <c r="BX44" s="245">
        <v>36</v>
      </c>
      <c r="BY44" s="245">
        <v>47</v>
      </c>
      <c r="BZ44" s="246">
        <f t="shared" si="2"/>
        <v>3.0638225168594033</v>
      </c>
      <c r="CA44" s="247">
        <v>0.40300000000000002</v>
      </c>
      <c r="CB44" s="247">
        <v>0.748</v>
      </c>
      <c r="CC44" s="248">
        <v>13</v>
      </c>
      <c r="CD44" s="249">
        <v>12</v>
      </c>
      <c r="CE44" s="247">
        <f t="shared" si="3"/>
        <v>0.18269208296769673</v>
      </c>
      <c r="CF44" s="242">
        <v>338970004.76999903</v>
      </c>
      <c r="CG44" s="243">
        <v>-6.5000000000000002E-2</v>
      </c>
      <c r="CH44" s="243">
        <v>0.14599999999999999</v>
      </c>
      <c r="CI44" s="243">
        <v>8.1000000000000003E-2</v>
      </c>
    </row>
    <row r="45" spans="1:87" s="60" customFormat="1" ht="22.8" hidden="1" x14ac:dyDescent="0.3">
      <c r="A45" s="233">
        <v>12776</v>
      </c>
      <c r="B45" s="233" t="s">
        <v>130</v>
      </c>
      <c r="C45" s="233" t="s">
        <v>75</v>
      </c>
      <c r="D45" s="233">
        <v>12776</v>
      </c>
      <c r="E45" s="233">
        <v>2025</v>
      </c>
      <c r="F45" s="233" t="s">
        <v>275</v>
      </c>
      <c r="G45" s="233">
        <v>5</v>
      </c>
      <c r="H45" s="233">
        <v>12</v>
      </c>
      <c r="I45" s="233" t="s">
        <v>715</v>
      </c>
      <c r="J45" s="234">
        <v>36866358</v>
      </c>
      <c r="K45" s="234">
        <v>0</v>
      </c>
      <c r="L45" s="234">
        <v>0</v>
      </c>
      <c r="M45" s="234">
        <v>41348959</v>
      </c>
      <c r="N45" s="234">
        <v>0</v>
      </c>
      <c r="O45" s="234">
        <v>3130540</v>
      </c>
      <c r="P45" s="234">
        <v>17098479</v>
      </c>
      <c r="Q45" s="242">
        <v>98444336</v>
      </c>
      <c r="R45" s="234">
        <v>41000875</v>
      </c>
      <c r="S45" s="234">
        <v>0</v>
      </c>
      <c r="T45" s="234">
        <v>0</v>
      </c>
      <c r="U45" s="234">
        <v>0</v>
      </c>
      <c r="V45" s="234">
        <v>349808851</v>
      </c>
      <c r="W45" s="234">
        <v>241091071</v>
      </c>
      <c r="X45" s="242">
        <v>108717780</v>
      </c>
      <c r="Y45" s="234">
        <v>63862254</v>
      </c>
      <c r="Z45" s="242">
        <v>213580909</v>
      </c>
      <c r="AA45" s="242">
        <v>312025245</v>
      </c>
      <c r="AB45" s="234">
        <v>10830047</v>
      </c>
      <c r="AC45" s="234">
        <v>0</v>
      </c>
      <c r="AD45" s="234">
        <v>0</v>
      </c>
      <c r="AE45" s="234">
        <v>66351145</v>
      </c>
      <c r="AF45" s="242">
        <v>77181192</v>
      </c>
      <c r="AG45" s="234">
        <v>90849435</v>
      </c>
      <c r="AH45" s="234">
        <v>0</v>
      </c>
      <c r="AI45" s="234">
        <v>14779690</v>
      </c>
      <c r="AJ45" s="242">
        <v>105629125</v>
      </c>
      <c r="AK45" s="242">
        <v>182810317</v>
      </c>
      <c r="AL45" s="234">
        <v>105134825</v>
      </c>
      <c r="AM45" s="234">
        <v>17766611</v>
      </c>
      <c r="AN45" s="234">
        <v>6313492</v>
      </c>
      <c r="AO45" s="242">
        <v>129214928</v>
      </c>
      <c r="AP45" s="242">
        <v>312025245</v>
      </c>
      <c r="AQ45" s="234">
        <v>382610648</v>
      </c>
      <c r="AR45" s="234">
        <v>0</v>
      </c>
      <c r="AS45" s="234">
        <v>18819544</v>
      </c>
      <c r="AT45" s="234">
        <v>1035453</v>
      </c>
      <c r="AU45" s="234">
        <v>0</v>
      </c>
      <c r="AV45" s="234">
        <v>3945592</v>
      </c>
      <c r="AW45" s="242">
        <v>406411237</v>
      </c>
      <c r="AX45" s="234">
        <v>1663477</v>
      </c>
      <c r="AY45" s="234">
        <v>0</v>
      </c>
      <c r="AZ45" s="234">
        <v>0</v>
      </c>
      <c r="BA45" s="234">
        <v>-1863948</v>
      </c>
      <c r="BB45" s="234">
        <v>0</v>
      </c>
      <c r="BC45" s="242">
        <v>-200471</v>
      </c>
      <c r="BD45" s="242">
        <v>406210766</v>
      </c>
      <c r="BE45" s="234">
        <v>220899712</v>
      </c>
      <c r="BF45" s="234">
        <v>0</v>
      </c>
      <c r="BG45" s="234">
        <v>11398371</v>
      </c>
      <c r="BH45" s="234">
        <v>3123201</v>
      </c>
      <c r="BI45" s="234">
        <v>5152424</v>
      </c>
      <c r="BJ45" s="234">
        <v>161480015</v>
      </c>
      <c r="BK45" s="234">
        <v>0</v>
      </c>
      <c r="BL45" s="242">
        <v>402053723</v>
      </c>
      <c r="BM45" s="242">
        <v>4157043</v>
      </c>
      <c r="BN45" s="234">
        <v>0</v>
      </c>
      <c r="BO45" s="234">
        <v>154729</v>
      </c>
      <c r="BP45" s="234">
        <v>4311772</v>
      </c>
      <c r="BQ45" s="234">
        <v>4177651</v>
      </c>
      <c r="BR45" s="234">
        <v>0</v>
      </c>
      <c r="BS45" s="242">
        <v>8489423</v>
      </c>
      <c r="BT45" s="243">
        <v>1.0999999999999999E-2</v>
      </c>
      <c r="BU45" s="243">
        <v>0</v>
      </c>
      <c r="BV45" s="243">
        <v>0.01</v>
      </c>
      <c r="BW45" s="244">
        <v>1.3</v>
      </c>
      <c r="BX45" s="245">
        <v>39</v>
      </c>
      <c r="BY45" s="245">
        <v>72</v>
      </c>
      <c r="BZ45" s="246">
        <f t="shared" si="2"/>
        <v>0.84030339001183085</v>
      </c>
      <c r="CA45" s="247">
        <v>9.2999999999999999E-2</v>
      </c>
      <c r="CB45" s="247">
        <v>0.41399999999999998</v>
      </c>
      <c r="CC45" s="248">
        <v>21</v>
      </c>
      <c r="CD45" s="249">
        <v>34</v>
      </c>
      <c r="CE45" s="247">
        <f t="shared" si="3"/>
        <v>0.46355475179486355</v>
      </c>
      <c r="CF45" s="242">
        <v>3121590</v>
      </c>
      <c r="CG45" s="243">
        <v>8.0000000000000002E-3</v>
      </c>
      <c r="CH45" s="243">
        <v>0</v>
      </c>
      <c r="CI45" s="243">
        <v>8.0000000000000002E-3</v>
      </c>
    </row>
    <row r="46" spans="1:87" s="60" customFormat="1" ht="22.8" x14ac:dyDescent="0.3">
      <c r="A46" s="238">
        <v>57</v>
      </c>
      <c r="B46" s="238" t="s">
        <v>132</v>
      </c>
      <c r="C46" s="238" t="s">
        <v>77</v>
      </c>
      <c r="D46" s="238">
        <v>12776</v>
      </c>
      <c r="E46" s="238">
        <v>2025</v>
      </c>
      <c r="F46" s="238" t="s">
        <v>275</v>
      </c>
      <c r="G46" s="238">
        <v>5</v>
      </c>
      <c r="H46" s="238">
        <v>12</v>
      </c>
      <c r="I46" s="238" t="s">
        <v>715</v>
      </c>
      <c r="J46" s="239">
        <v>17255185</v>
      </c>
      <c r="K46" s="239">
        <v>0</v>
      </c>
      <c r="L46" s="239">
        <v>0</v>
      </c>
      <c r="M46" s="239">
        <v>41348959</v>
      </c>
      <c r="N46" s="239">
        <v>904290</v>
      </c>
      <c r="O46" s="239">
        <v>3130540</v>
      </c>
      <c r="P46" s="239">
        <v>14367706</v>
      </c>
      <c r="Q46" s="242">
        <v>77006680</v>
      </c>
      <c r="R46" s="239">
        <v>31619947</v>
      </c>
      <c r="S46" s="239">
        <v>0</v>
      </c>
      <c r="T46" s="239">
        <v>28980661</v>
      </c>
      <c r="U46" s="239">
        <v>0</v>
      </c>
      <c r="V46" s="239">
        <v>348796444</v>
      </c>
      <c r="W46" s="239">
        <v>240078664</v>
      </c>
      <c r="X46" s="242">
        <v>108717780</v>
      </c>
      <c r="Y46" s="239">
        <v>66077651</v>
      </c>
      <c r="Z46" s="242">
        <v>235396039</v>
      </c>
      <c r="AA46" s="242">
        <v>312402719</v>
      </c>
      <c r="AB46" s="239">
        <v>10830047</v>
      </c>
      <c r="AC46" s="239">
        <v>0</v>
      </c>
      <c r="AD46" s="239">
        <v>0</v>
      </c>
      <c r="AE46" s="239">
        <v>66288851</v>
      </c>
      <c r="AF46" s="242">
        <v>77118898</v>
      </c>
      <c r="AG46" s="239">
        <v>90849435</v>
      </c>
      <c r="AH46" s="239">
        <v>0</v>
      </c>
      <c r="AI46" s="239">
        <v>14779690</v>
      </c>
      <c r="AJ46" s="242">
        <v>105629125</v>
      </c>
      <c r="AK46" s="242">
        <v>182748023</v>
      </c>
      <c r="AL46" s="239">
        <v>105574593</v>
      </c>
      <c r="AM46" s="239">
        <v>20923357</v>
      </c>
      <c r="AN46" s="239">
        <v>3156746</v>
      </c>
      <c r="AO46" s="242">
        <v>129654696</v>
      </c>
      <c r="AP46" s="242">
        <v>312402719</v>
      </c>
      <c r="AQ46" s="239">
        <v>382610648</v>
      </c>
      <c r="AR46" s="239">
        <v>0</v>
      </c>
      <c r="AS46" s="239">
        <v>18940388</v>
      </c>
      <c r="AT46" s="239">
        <v>1035453</v>
      </c>
      <c r="AU46" s="239">
        <v>0</v>
      </c>
      <c r="AV46" s="239">
        <v>3945592</v>
      </c>
      <c r="AW46" s="242">
        <v>406532081</v>
      </c>
      <c r="AX46" s="239">
        <v>1450760</v>
      </c>
      <c r="AY46" s="239">
        <v>0</v>
      </c>
      <c r="AZ46" s="239">
        <v>0</v>
      </c>
      <c r="BA46" s="239">
        <v>-1863948</v>
      </c>
      <c r="BB46" s="239">
        <v>0</v>
      </c>
      <c r="BC46" s="242">
        <v>-413188</v>
      </c>
      <c r="BD46" s="242">
        <v>406118893</v>
      </c>
      <c r="BE46" s="239">
        <v>220064723</v>
      </c>
      <c r="BF46" s="239">
        <v>0</v>
      </c>
      <c r="BG46" s="239">
        <v>11398371</v>
      </c>
      <c r="BH46" s="239">
        <v>3123201</v>
      </c>
      <c r="BI46" s="239">
        <v>5152424</v>
      </c>
      <c r="BJ46" s="239">
        <v>161175404</v>
      </c>
      <c r="BK46" s="239">
        <v>0</v>
      </c>
      <c r="BL46" s="242">
        <v>400914123</v>
      </c>
      <c r="BM46" s="242">
        <v>5204770</v>
      </c>
      <c r="BN46" s="239">
        <v>-3447124</v>
      </c>
      <c r="BO46" s="239">
        <v>3601853</v>
      </c>
      <c r="BP46" s="239">
        <v>5359499</v>
      </c>
      <c r="BQ46" s="239">
        <v>4177651</v>
      </c>
      <c r="BR46" s="239">
        <v>0</v>
      </c>
      <c r="BS46" s="242">
        <v>9537150</v>
      </c>
      <c r="BT46" s="243">
        <v>1.4E-2</v>
      </c>
      <c r="BU46" s="243">
        <v>-1E-3</v>
      </c>
      <c r="BV46" s="243">
        <v>1.2999999999999999E-2</v>
      </c>
      <c r="BW46" s="244">
        <v>1</v>
      </c>
      <c r="BX46" s="245">
        <v>39</v>
      </c>
      <c r="BY46" s="245">
        <v>72</v>
      </c>
      <c r="BZ46" s="246">
        <f t="shared" si="2"/>
        <v>0.88743796342141845</v>
      </c>
      <c r="CA46" s="247">
        <v>9.9000000000000005E-2</v>
      </c>
      <c r="CB46" s="247">
        <v>0.41499999999999998</v>
      </c>
      <c r="CC46" s="248">
        <v>21</v>
      </c>
      <c r="CD46" s="249">
        <v>16</v>
      </c>
      <c r="CE46" s="247">
        <f t="shared" si="3"/>
        <v>0.46251691264573802</v>
      </c>
      <c r="CF46" s="242">
        <v>4169317</v>
      </c>
      <c r="CG46" s="243">
        <v>1.0999999999999999E-2</v>
      </c>
      <c r="CH46" s="243">
        <v>-1E-3</v>
      </c>
      <c r="CI46" s="243">
        <v>0.01</v>
      </c>
    </row>
    <row r="47" spans="1:87" s="60" customFormat="1" ht="22.8" x14ac:dyDescent="0.3">
      <c r="A47" s="238">
        <v>8</v>
      </c>
      <c r="B47" s="238" t="s">
        <v>87</v>
      </c>
      <c r="C47" s="238" t="s">
        <v>77</v>
      </c>
      <c r="D47" s="238">
        <v>3106</v>
      </c>
      <c r="E47" s="238">
        <v>2025</v>
      </c>
      <c r="F47" s="238" t="s">
        <v>275</v>
      </c>
      <c r="G47" s="238">
        <v>5</v>
      </c>
      <c r="H47" s="238">
        <v>12</v>
      </c>
      <c r="I47" s="238" t="s">
        <v>715</v>
      </c>
      <c r="J47" s="239">
        <v>63813739</v>
      </c>
      <c r="K47" s="239">
        <v>0</v>
      </c>
      <c r="L47" s="239">
        <v>0</v>
      </c>
      <c r="M47" s="239">
        <v>7474868</v>
      </c>
      <c r="N47" s="239">
        <v>0</v>
      </c>
      <c r="O47" s="239">
        <v>0</v>
      </c>
      <c r="P47" s="239">
        <v>1683964</v>
      </c>
      <c r="Q47" s="242">
        <v>72972571</v>
      </c>
      <c r="R47" s="239">
        <v>50791642</v>
      </c>
      <c r="S47" s="239">
        <v>0</v>
      </c>
      <c r="T47" s="239">
        <v>0</v>
      </c>
      <c r="U47" s="239">
        <v>0</v>
      </c>
      <c r="V47" s="239">
        <v>41974661</v>
      </c>
      <c r="W47" s="239">
        <v>28474004</v>
      </c>
      <c r="X47" s="242">
        <v>13500657</v>
      </c>
      <c r="Y47" s="239">
        <v>701052</v>
      </c>
      <c r="Z47" s="242">
        <v>64993351</v>
      </c>
      <c r="AA47" s="242">
        <v>137965922</v>
      </c>
      <c r="AB47" s="239">
        <v>223920</v>
      </c>
      <c r="AC47" s="239">
        <v>10507445</v>
      </c>
      <c r="AD47" s="239">
        <v>1216491</v>
      </c>
      <c r="AE47" s="239">
        <v>7761204</v>
      </c>
      <c r="AF47" s="242">
        <v>19709060</v>
      </c>
      <c r="AG47" s="239">
        <v>1653200</v>
      </c>
      <c r="AH47" s="239">
        <v>0</v>
      </c>
      <c r="AI47" s="239">
        <v>3287198</v>
      </c>
      <c r="AJ47" s="242">
        <v>4940398</v>
      </c>
      <c r="AK47" s="242">
        <v>24649458</v>
      </c>
      <c r="AL47" s="239">
        <v>105229195</v>
      </c>
      <c r="AM47" s="239">
        <v>7829027</v>
      </c>
      <c r="AN47" s="239">
        <v>258242</v>
      </c>
      <c r="AO47" s="242">
        <v>113316464</v>
      </c>
      <c r="AP47" s="242">
        <v>137965922</v>
      </c>
      <c r="AQ47" s="239">
        <v>81875359</v>
      </c>
      <c r="AR47" s="239">
        <v>2092223</v>
      </c>
      <c r="AS47" s="239">
        <v>11990076</v>
      </c>
      <c r="AT47" s="239">
        <v>0</v>
      </c>
      <c r="AU47" s="239">
        <v>0</v>
      </c>
      <c r="AV47" s="239">
        <v>48647</v>
      </c>
      <c r="AW47" s="242">
        <v>96006305</v>
      </c>
      <c r="AX47" s="239">
        <v>3833560</v>
      </c>
      <c r="AY47" s="239">
        <v>0</v>
      </c>
      <c r="AZ47" s="239">
        <v>-44211</v>
      </c>
      <c r="BA47" s="239">
        <v>0</v>
      </c>
      <c r="BB47" s="239">
        <v>52222</v>
      </c>
      <c r="BC47" s="242">
        <v>3841571</v>
      </c>
      <c r="BD47" s="242">
        <v>99847876</v>
      </c>
      <c r="BE47" s="239">
        <v>48966873</v>
      </c>
      <c r="BF47" s="239">
        <v>0</v>
      </c>
      <c r="BG47" s="239">
        <v>2140676</v>
      </c>
      <c r="BH47" s="239">
        <v>18756</v>
      </c>
      <c r="BI47" s="239">
        <v>794294</v>
      </c>
      <c r="BJ47" s="239">
        <v>33966582</v>
      </c>
      <c r="BK47" s="239">
        <v>0</v>
      </c>
      <c r="BL47" s="242">
        <v>85887181</v>
      </c>
      <c r="BM47" s="242">
        <v>13960695</v>
      </c>
      <c r="BN47" s="239">
        <v>-2419523</v>
      </c>
      <c r="BO47" s="239">
        <v>703718</v>
      </c>
      <c r="BP47" s="239">
        <v>12244890</v>
      </c>
      <c r="BQ47" s="239">
        <v>0</v>
      </c>
      <c r="BR47" s="239">
        <v>0</v>
      </c>
      <c r="BS47" s="242">
        <v>12244890</v>
      </c>
      <c r="BT47" s="243">
        <v>0.10100000000000001</v>
      </c>
      <c r="BU47" s="243">
        <v>3.7999999999999999E-2</v>
      </c>
      <c r="BV47" s="243">
        <v>0.14000000000000001</v>
      </c>
      <c r="BW47" s="244">
        <v>3.7</v>
      </c>
      <c r="BX47" s="245">
        <v>33</v>
      </c>
      <c r="BY47" s="245">
        <v>40</v>
      </c>
      <c r="BZ47" s="246">
        <f t="shared" si="2"/>
        <v>6.8359829755273207</v>
      </c>
      <c r="CA47" s="247">
        <v>0.75600000000000001</v>
      </c>
      <c r="CB47" s="247">
        <v>0.82099999999999995</v>
      </c>
      <c r="CC47" s="248">
        <v>13</v>
      </c>
      <c r="CD47" s="249">
        <v>278</v>
      </c>
      <c r="CE47" s="247">
        <f t="shared" si="3"/>
        <v>1.5467467771469755E-2</v>
      </c>
      <c r="CF47" s="242">
        <v>13960695</v>
      </c>
      <c r="CG47" s="243">
        <v>0.10100000000000001</v>
      </c>
      <c r="CH47" s="243">
        <v>3.7999999999999999E-2</v>
      </c>
      <c r="CI47" s="243">
        <v>0.14000000000000001</v>
      </c>
    </row>
    <row r="48" spans="1:87" s="60" customFormat="1" ht="22.8" x14ac:dyDescent="0.3">
      <c r="A48" s="238">
        <v>40</v>
      </c>
      <c r="B48" s="238" t="s">
        <v>125</v>
      </c>
      <c r="C48" s="238" t="s">
        <v>77</v>
      </c>
      <c r="D48" s="238">
        <v>3109</v>
      </c>
      <c r="E48" s="238">
        <v>2025</v>
      </c>
      <c r="F48" s="238" t="s">
        <v>275</v>
      </c>
      <c r="G48" s="238">
        <v>5</v>
      </c>
      <c r="H48" s="238">
        <v>12</v>
      </c>
      <c r="I48" s="238" t="s">
        <v>715</v>
      </c>
      <c r="J48" s="239">
        <v>3746441</v>
      </c>
      <c r="K48" s="239">
        <v>3003717</v>
      </c>
      <c r="L48" s="239">
        <v>0</v>
      </c>
      <c r="M48" s="239">
        <v>20241214</v>
      </c>
      <c r="N48" s="239">
        <v>0</v>
      </c>
      <c r="O48" s="239">
        <v>0</v>
      </c>
      <c r="P48" s="239">
        <v>6627308</v>
      </c>
      <c r="Q48" s="242">
        <v>33618680</v>
      </c>
      <c r="R48" s="239">
        <v>22575969</v>
      </c>
      <c r="S48" s="239">
        <v>0</v>
      </c>
      <c r="T48" s="239">
        <v>0</v>
      </c>
      <c r="U48" s="239">
        <v>0</v>
      </c>
      <c r="V48" s="239">
        <v>218045077</v>
      </c>
      <c r="W48" s="239">
        <v>140959924</v>
      </c>
      <c r="X48" s="242">
        <v>77085153</v>
      </c>
      <c r="Y48" s="239">
        <v>244931318</v>
      </c>
      <c r="Z48" s="242">
        <v>344592440</v>
      </c>
      <c r="AA48" s="242">
        <v>378211120</v>
      </c>
      <c r="AB48" s="239">
        <v>2312517</v>
      </c>
      <c r="AC48" s="239">
        <v>2585866</v>
      </c>
      <c r="AD48" s="239">
        <v>52629524</v>
      </c>
      <c r="AE48" s="239">
        <v>13883458</v>
      </c>
      <c r="AF48" s="242">
        <v>71411365</v>
      </c>
      <c r="AG48" s="239">
        <v>11460041</v>
      </c>
      <c r="AH48" s="239">
        <v>0</v>
      </c>
      <c r="AI48" s="239">
        <v>545243</v>
      </c>
      <c r="AJ48" s="242">
        <v>12005284</v>
      </c>
      <c r="AK48" s="242">
        <v>83416649</v>
      </c>
      <c r="AL48" s="239">
        <v>272218502</v>
      </c>
      <c r="AM48" s="239">
        <v>22575969</v>
      </c>
      <c r="AN48" s="239">
        <v>0</v>
      </c>
      <c r="AO48" s="242">
        <v>294794471</v>
      </c>
      <c r="AP48" s="242">
        <v>378211120</v>
      </c>
      <c r="AQ48" s="239">
        <v>198116858</v>
      </c>
      <c r="AR48" s="239">
        <v>0</v>
      </c>
      <c r="AS48" s="239">
        <v>2328050</v>
      </c>
      <c r="AT48" s="239">
        <v>0</v>
      </c>
      <c r="AU48" s="239">
        <v>0</v>
      </c>
      <c r="AV48" s="239">
        <v>615958</v>
      </c>
      <c r="AW48" s="242">
        <v>201060866</v>
      </c>
      <c r="AX48" s="239">
        <v>5358592</v>
      </c>
      <c r="AY48" s="239">
        <v>1085468</v>
      </c>
      <c r="AZ48" s="239">
        <v>0</v>
      </c>
      <c r="BA48" s="239">
        <v>17584690</v>
      </c>
      <c r="BB48" s="239">
        <v>0</v>
      </c>
      <c r="BC48" s="242">
        <v>24028750</v>
      </c>
      <c r="BD48" s="242">
        <v>225089616</v>
      </c>
      <c r="BE48" s="239">
        <v>105761771</v>
      </c>
      <c r="BF48" s="239">
        <v>0</v>
      </c>
      <c r="BG48" s="239">
        <v>7369556</v>
      </c>
      <c r="BH48" s="239">
        <v>193977</v>
      </c>
      <c r="BI48" s="239">
        <v>3558131</v>
      </c>
      <c r="BJ48" s="239">
        <v>75562963</v>
      </c>
      <c r="BK48" s="239">
        <v>0</v>
      </c>
      <c r="BL48" s="242">
        <v>192446398</v>
      </c>
      <c r="BM48" s="242">
        <v>32643218</v>
      </c>
      <c r="BN48" s="239">
        <v>-11122593</v>
      </c>
      <c r="BO48" s="239">
        <v>60883</v>
      </c>
      <c r="BP48" s="239">
        <v>21581508</v>
      </c>
      <c r="BQ48" s="239">
        <v>0</v>
      </c>
      <c r="BR48" s="239">
        <v>0</v>
      </c>
      <c r="BS48" s="242">
        <v>21581508</v>
      </c>
      <c r="BT48" s="247">
        <v>3.7999999999999999E-2</v>
      </c>
      <c r="BU48" s="247">
        <v>0.107</v>
      </c>
      <c r="BV48" s="247">
        <v>0.14499999999999999</v>
      </c>
      <c r="BW48" s="244">
        <v>0.5</v>
      </c>
      <c r="BX48" s="245">
        <v>37</v>
      </c>
      <c r="BY48" s="245">
        <v>136</v>
      </c>
      <c r="BZ48" s="246">
        <f t="shared" si="2"/>
        <v>4.1527006664791726</v>
      </c>
      <c r="CA48" s="247">
        <v>0.48299999999999998</v>
      </c>
      <c r="CB48" s="247">
        <v>0.77900000000000003</v>
      </c>
      <c r="CC48" s="248">
        <v>19</v>
      </c>
      <c r="CD48" s="248"/>
      <c r="CE48" s="247">
        <f t="shared" si="3"/>
        <v>4.0397983149539796E-2</v>
      </c>
      <c r="CF48" s="242">
        <v>0</v>
      </c>
      <c r="CG48" s="247">
        <v>0</v>
      </c>
      <c r="CH48" s="247">
        <v>32643218</v>
      </c>
      <c r="CI48" s="247">
        <v>3.7999999999999999E-2</v>
      </c>
    </row>
    <row r="49" spans="1:87" s="60" customFormat="1" ht="22.8" hidden="1" x14ac:dyDescent="0.3">
      <c r="A49" s="233">
        <v>7895</v>
      </c>
      <c r="B49" s="233" t="s">
        <v>195</v>
      </c>
      <c r="C49" s="233" t="s">
        <v>83</v>
      </c>
      <c r="D49" s="233">
        <v>12775</v>
      </c>
      <c r="E49" s="233">
        <v>2025</v>
      </c>
      <c r="F49" s="233" t="s">
        <v>275</v>
      </c>
      <c r="G49" s="233">
        <v>5</v>
      </c>
      <c r="H49" s="233">
        <v>12</v>
      </c>
      <c r="I49" s="233" t="s">
        <v>715</v>
      </c>
      <c r="J49" s="234">
        <v>0</v>
      </c>
      <c r="K49" s="234">
        <v>0</v>
      </c>
      <c r="L49" s="234">
        <v>0</v>
      </c>
      <c r="M49" s="234">
        <v>0</v>
      </c>
      <c r="N49" s="234">
        <v>0</v>
      </c>
      <c r="O49" s="234">
        <v>0</v>
      </c>
      <c r="P49" s="234">
        <v>0</v>
      </c>
      <c r="Q49" s="242">
        <v>0</v>
      </c>
      <c r="R49" s="234">
        <v>0</v>
      </c>
      <c r="S49" s="234">
        <v>0</v>
      </c>
      <c r="T49" s="234">
        <v>0</v>
      </c>
      <c r="U49" s="234">
        <v>0</v>
      </c>
      <c r="V49" s="234">
        <v>0</v>
      </c>
      <c r="W49" s="234">
        <v>0</v>
      </c>
      <c r="X49" s="242">
        <v>0</v>
      </c>
      <c r="Y49" s="234">
        <v>0</v>
      </c>
      <c r="Z49" s="242">
        <v>0</v>
      </c>
      <c r="AA49" s="242">
        <v>0</v>
      </c>
      <c r="AB49" s="234">
        <v>0</v>
      </c>
      <c r="AC49" s="234">
        <v>0</v>
      </c>
      <c r="AD49" s="234">
        <v>0</v>
      </c>
      <c r="AE49" s="234">
        <v>0</v>
      </c>
      <c r="AF49" s="242">
        <v>0</v>
      </c>
      <c r="AG49" s="234">
        <v>0</v>
      </c>
      <c r="AH49" s="234">
        <v>0</v>
      </c>
      <c r="AI49" s="234">
        <v>0</v>
      </c>
      <c r="AJ49" s="242">
        <v>0</v>
      </c>
      <c r="AK49" s="242">
        <v>0</v>
      </c>
      <c r="AL49" s="234">
        <v>0</v>
      </c>
      <c r="AM49" s="234">
        <v>0</v>
      </c>
      <c r="AN49" s="234">
        <v>0</v>
      </c>
      <c r="AO49" s="242">
        <v>0</v>
      </c>
      <c r="AP49" s="242">
        <v>0</v>
      </c>
      <c r="AQ49" s="234">
        <v>45913000</v>
      </c>
      <c r="AR49" s="234">
        <v>0</v>
      </c>
      <c r="AS49" s="234">
        <v>19363000</v>
      </c>
      <c r="AT49" s="234">
        <v>0</v>
      </c>
      <c r="AU49" s="234">
        <v>0</v>
      </c>
      <c r="AV49" s="234">
        <v>0</v>
      </c>
      <c r="AW49" s="242">
        <v>65276000</v>
      </c>
      <c r="AX49" s="234">
        <v>-1000</v>
      </c>
      <c r="AY49" s="234">
        <v>0</v>
      </c>
      <c r="AZ49" s="234">
        <v>0</v>
      </c>
      <c r="BA49" s="234">
        <v>0</v>
      </c>
      <c r="BB49" s="234">
        <v>0</v>
      </c>
      <c r="BC49" s="242">
        <v>-1000</v>
      </c>
      <c r="BD49" s="242">
        <v>65275000</v>
      </c>
      <c r="BE49" s="234">
        <v>54421000</v>
      </c>
      <c r="BF49" s="234">
        <v>0</v>
      </c>
      <c r="BG49" s="234">
        <v>232000</v>
      </c>
      <c r="BH49" s="234">
        <v>0</v>
      </c>
      <c r="BI49" s="234">
        <v>0</v>
      </c>
      <c r="BJ49" s="234">
        <v>11481000</v>
      </c>
      <c r="BK49" s="234">
        <v>0</v>
      </c>
      <c r="BL49" s="242">
        <v>66134000</v>
      </c>
      <c r="BM49" s="242">
        <v>-859000</v>
      </c>
      <c r="BN49" s="234">
        <v>9940000</v>
      </c>
      <c r="BO49" s="234">
        <v>0</v>
      </c>
      <c r="BP49" s="234">
        <v>9081000</v>
      </c>
      <c r="BQ49" s="234">
        <v>0</v>
      </c>
      <c r="BR49" s="234">
        <v>0</v>
      </c>
      <c r="BS49" s="242">
        <v>9081000</v>
      </c>
      <c r="BT49" s="243">
        <v>-1.2999999999999999E-2</v>
      </c>
      <c r="BU49" s="243">
        <v>0</v>
      </c>
      <c r="BV49" s="243">
        <v>-1.2999999999999999E-2</v>
      </c>
      <c r="BW49" s="244">
        <v>0</v>
      </c>
      <c r="BX49" s="245">
        <v>0</v>
      </c>
      <c r="BY49" s="245">
        <v>0</v>
      </c>
      <c r="BZ49" s="246">
        <f t="shared" si="2"/>
        <v>-2.7025862068965516</v>
      </c>
      <c r="CA49" s="247">
        <v>0</v>
      </c>
      <c r="CB49" s="247">
        <v>0</v>
      </c>
      <c r="CC49" s="248">
        <v>0</v>
      </c>
      <c r="CD49" s="249">
        <v>0</v>
      </c>
      <c r="CE49" s="247" t="e">
        <f t="shared" si="3"/>
        <v>#DIV/0!</v>
      </c>
      <c r="CF49" s="242">
        <v>-859000</v>
      </c>
      <c r="CG49" s="243">
        <v>-1.2999999999999999E-2</v>
      </c>
      <c r="CH49" s="243">
        <v>0</v>
      </c>
      <c r="CI49" s="243">
        <v>-1.2999999999999999E-2</v>
      </c>
    </row>
    <row r="50" spans="1:87" s="60" customFormat="1" ht="22.8" x14ac:dyDescent="0.3">
      <c r="A50" s="233">
        <v>68</v>
      </c>
      <c r="B50" s="233" t="s">
        <v>198</v>
      </c>
      <c r="C50" s="233" t="s">
        <v>77</v>
      </c>
      <c r="D50" s="233">
        <v>6755</v>
      </c>
      <c r="E50" s="233">
        <v>2025</v>
      </c>
      <c r="F50" s="233" t="s">
        <v>275</v>
      </c>
      <c r="G50" s="233">
        <v>5</v>
      </c>
      <c r="H50" s="233">
        <v>12</v>
      </c>
      <c r="I50" s="233" t="s">
        <v>715</v>
      </c>
      <c r="J50" s="234">
        <v>782000</v>
      </c>
      <c r="K50" s="234">
        <v>0</v>
      </c>
      <c r="L50" s="234">
        <v>0</v>
      </c>
      <c r="M50" s="234">
        <v>18570000</v>
      </c>
      <c r="N50" s="234">
        <v>281275000</v>
      </c>
      <c r="O50" s="234">
        <v>1841000</v>
      </c>
      <c r="P50" s="234">
        <v>5584000</v>
      </c>
      <c r="Q50" s="242">
        <v>308052000</v>
      </c>
      <c r="R50" s="234">
        <v>204000</v>
      </c>
      <c r="S50" s="234">
        <v>0</v>
      </c>
      <c r="T50" s="234">
        <v>0</v>
      </c>
      <c r="U50" s="234">
        <v>0</v>
      </c>
      <c r="V50" s="234">
        <v>126388000</v>
      </c>
      <c r="W50" s="234">
        <v>64598000</v>
      </c>
      <c r="X50" s="242">
        <v>61790000</v>
      </c>
      <c r="Y50" s="234">
        <v>67474000</v>
      </c>
      <c r="Z50" s="242">
        <v>129468000</v>
      </c>
      <c r="AA50" s="242">
        <v>437520000</v>
      </c>
      <c r="AB50" s="234">
        <v>0</v>
      </c>
      <c r="AC50" s="234">
        <v>2154000</v>
      </c>
      <c r="AD50" s="234">
        <v>301903000</v>
      </c>
      <c r="AE50" s="234">
        <v>17545000</v>
      </c>
      <c r="AF50" s="242">
        <v>321602000</v>
      </c>
      <c r="AG50" s="234">
        <v>0</v>
      </c>
      <c r="AH50" s="234">
        <v>21915000</v>
      </c>
      <c r="AI50" s="234">
        <v>11869000</v>
      </c>
      <c r="AJ50" s="242">
        <v>33784000</v>
      </c>
      <c r="AK50" s="242">
        <v>355386000</v>
      </c>
      <c r="AL50" s="234">
        <v>73342000</v>
      </c>
      <c r="AM50" s="234">
        <v>853000</v>
      </c>
      <c r="AN50" s="234">
        <v>7939000</v>
      </c>
      <c r="AO50" s="242">
        <v>82134000</v>
      </c>
      <c r="AP50" s="242">
        <v>437520000</v>
      </c>
      <c r="AQ50" s="234">
        <v>193977000</v>
      </c>
      <c r="AR50" s="234">
        <v>0</v>
      </c>
      <c r="AS50" s="234">
        <v>13963000</v>
      </c>
      <c r="AT50" s="234">
        <v>0</v>
      </c>
      <c r="AU50" s="234">
        <v>0</v>
      </c>
      <c r="AV50" s="234">
        <v>31000</v>
      </c>
      <c r="AW50" s="242">
        <v>207971000</v>
      </c>
      <c r="AX50" s="234">
        <v>1312000</v>
      </c>
      <c r="AY50" s="234">
        <v>8209000</v>
      </c>
      <c r="AZ50" s="234">
        <v>0</v>
      </c>
      <c r="BA50" s="234">
        <v>3802000</v>
      </c>
      <c r="BB50" s="234">
        <v>0</v>
      </c>
      <c r="BC50" s="242">
        <v>13323000</v>
      </c>
      <c r="BD50" s="242">
        <v>221294000</v>
      </c>
      <c r="BE50" s="234">
        <v>102240000</v>
      </c>
      <c r="BF50" s="234">
        <v>0</v>
      </c>
      <c r="BG50" s="234">
        <v>7170000</v>
      </c>
      <c r="BH50" s="234">
        <v>2618000</v>
      </c>
      <c r="BI50" s="234">
        <v>2250000</v>
      </c>
      <c r="BJ50" s="234">
        <v>100792000</v>
      </c>
      <c r="BK50" s="234">
        <v>0</v>
      </c>
      <c r="BL50" s="242">
        <v>215070000</v>
      </c>
      <c r="BM50" s="242">
        <v>6224000</v>
      </c>
      <c r="BN50" s="234">
        <v>2028000</v>
      </c>
      <c r="BO50" s="234">
        <v>698000</v>
      </c>
      <c r="BP50" s="234">
        <v>8950000</v>
      </c>
      <c r="BQ50" s="234">
        <v>0</v>
      </c>
      <c r="BR50" s="234">
        <v>0</v>
      </c>
      <c r="BS50" s="242">
        <v>8950000</v>
      </c>
      <c r="BT50" s="243">
        <v>-3.2000000000000001E-2</v>
      </c>
      <c r="BU50" s="243">
        <v>0.06</v>
      </c>
      <c r="BV50" s="243">
        <v>2.8000000000000001E-2</v>
      </c>
      <c r="BW50" s="244">
        <v>1</v>
      </c>
      <c r="BX50" s="245">
        <v>35</v>
      </c>
      <c r="BY50" s="245">
        <v>561</v>
      </c>
      <c r="BZ50" s="246">
        <f t="shared" si="2"/>
        <v>2.2331938633193862</v>
      </c>
      <c r="CA50" s="247">
        <v>4.2000000000000003E-2</v>
      </c>
      <c r="CB50" s="247">
        <v>0.188</v>
      </c>
      <c r="CC50" s="248">
        <v>9</v>
      </c>
      <c r="CD50" s="249">
        <v>1</v>
      </c>
      <c r="CE50" s="247">
        <f t="shared" si="3"/>
        <v>0</v>
      </c>
      <c r="CF50" s="242">
        <v>6224000</v>
      </c>
      <c r="CG50" s="243">
        <v>-3.2000000000000001E-2</v>
      </c>
      <c r="CH50" s="243">
        <v>0.06</v>
      </c>
      <c r="CI50" s="243">
        <v>2.8000000000000001E-2</v>
      </c>
    </row>
    <row r="51" spans="1:87" s="60" customFormat="1" ht="22.8" x14ac:dyDescent="0.3">
      <c r="A51" s="238">
        <v>68</v>
      </c>
      <c r="B51" s="238" t="s">
        <v>198</v>
      </c>
      <c r="C51" s="238" t="s">
        <v>77</v>
      </c>
      <c r="D51" s="238">
        <v>6755</v>
      </c>
      <c r="E51" s="238">
        <v>2025</v>
      </c>
      <c r="F51" s="238" t="s">
        <v>275</v>
      </c>
      <c r="G51" s="238">
        <v>5</v>
      </c>
      <c r="H51" s="238">
        <v>12</v>
      </c>
      <c r="I51" s="238" t="s">
        <v>715</v>
      </c>
      <c r="J51" s="239">
        <v>782000</v>
      </c>
      <c r="K51" s="239">
        <v>0</v>
      </c>
      <c r="L51" s="239">
        <v>0</v>
      </c>
      <c r="M51" s="239">
        <v>18570000</v>
      </c>
      <c r="N51" s="239">
        <v>281275000</v>
      </c>
      <c r="O51" s="239">
        <v>1841000</v>
      </c>
      <c r="P51" s="239">
        <v>5584000</v>
      </c>
      <c r="Q51" s="242">
        <v>308052000</v>
      </c>
      <c r="R51" s="239">
        <v>204000</v>
      </c>
      <c r="S51" s="239">
        <v>0</v>
      </c>
      <c r="T51" s="239">
        <v>0</v>
      </c>
      <c r="U51" s="239">
        <v>0</v>
      </c>
      <c r="V51" s="239">
        <v>126388000</v>
      </c>
      <c r="W51" s="239">
        <v>64598000</v>
      </c>
      <c r="X51" s="242">
        <v>61790000</v>
      </c>
      <c r="Y51" s="239">
        <v>67474000</v>
      </c>
      <c r="Z51" s="242">
        <v>129468000</v>
      </c>
      <c r="AA51" s="242">
        <v>437520000</v>
      </c>
      <c r="AB51" s="239">
        <v>0</v>
      </c>
      <c r="AC51" s="239">
        <v>2154000</v>
      </c>
      <c r="AD51" s="239">
        <v>301903000</v>
      </c>
      <c r="AE51" s="239">
        <v>17545000</v>
      </c>
      <c r="AF51" s="242">
        <v>321602000</v>
      </c>
      <c r="AG51" s="239">
        <v>0</v>
      </c>
      <c r="AH51" s="239">
        <v>21915000</v>
      </c>
      <c r="AI51" s="239">
        <v>11869000</v>
      </c>
      <c r="AJ51" s="242">
        <v>33784000</v>
      </c>
      <c r="AK51" s="242">
        <v>355386000</v>
      </c>
      <c r="AL51" s="239">
        <v>73342000</v>
      </c>
      <c r="AM51" s="239">
        <v>853000</v>
      </c>
      <c r="AN51" s="239">
        <v>7939000</v>
      </c>
      <c r="AO51" s="242">
        <v>82134000</v>
      </c>
      <c r="AP51" s="242">
        <v>437520000</v>
      </c>
      <c r="AQ51" s="239">
        <v>193977000</v>
      </c>
      <c r="AR51" s="239">
        <v>0</v>
      </c>
      <c r="AS51" s="239">
        <v>13963000</v>
      </c>
      <c r="AT51" s="239">
        <v>0</v>
      </c>
      <c r="AU51" s="239">
        <v>0</v>
      </c>
      <c r="AV51" s="239">
        <v>31000</v>
      </c>
      <c r="AW51" s="242">
        <v>207971000</v>
      </c>
      <c r="AX51" s="239">
        <v>1312000</v>
      </c>
      <c r="AY51" s="239">
        <v>8209000</v>
      </c>
      <c r="AZ51" s="239">
        <v>0</v>
      </c>
      <c r="BA51" s="239">
        <v>3802000</v>
      </c>
      <c r="BB51" s="239">
        <v>0</v>
      </c>
      <c r="BC51" s="242">
        <v>13323000</v>
      </c>
      <c r="BD51" s="242">
        <v>221294000</v>
      </c>
      <c r="BE51" s="239">
        <v>102240000</v>
      </c>
      <c r="BF51" s="239">
        <v>0</v>
      </c>
      <c r="BG51" s="239">
        <v>7170000</v>
      </c>
      <c r="BH51" s="239">
        <v>2618000</v>
      </c>
      <c r="BI51" s="239">
        <v>2250000</v>
      </c>
      <c r="BJ51" s="239">
        <v>100792000</v>
      </c>
      <c r="BK51" s="239">
        <v>0</v>
      </c>
      <c r="BL51" s="242">
        <v>215070000</v>
      </c>
      <c r="BM51" s="242">
        <v>6224000</v>
      </c>
      <c r="BN51" s="239">
        <v>2028000</v>
      </c>
      <c r="BO51" s="239">
        <v>698000</v>
      </c>
      <c r="BP51" s="239">
        <v>8950000</v>
      </c>
      <c r="BQ51" s="239">
        <v>0</v>
      </c>
      <c r="BR51" s="239">
        <v>0</v>
      </c>
      <c r="BS51" s="242">
        <v>8950000</v>
      </c>
      <c r="BT51" s="247">
        <v>-3.2000000000000001E-2</v>
      </c>
      <c r="BU51" s="247">
        <v>0.06</v>
      </c>
      <c r="BV51" s="247">
        <v>2.8000000000000001E-2</v>
      </c>
      <c r="BW51" s="244">
        <v>1</v>
      </c>
      <c r="BX51" s="245">
        <v>35</v>
      </c>
      <c r="BY51" s="245">
        <v>561</v>
      </c>
      <c r="BZ51" s="246">
        <f t="shared" si="2"/>
        <v>2.2331938633193862</v>
      </c>
      <c r="CA51" s="247">
        <v>4.2000000000000003E-2</v>
      </c>
      <c r="CB51" s="247">
        <v>0.188</v>
      </c>
      <c r="CC51" s="248">
        <v>9</v>
      </c>
      <c r="CD51" s="248"/>
      <c r="CE51" s="247">
        <f t="shared" si="3"/>
        <v>0</v>
      </c>
      <c r="CF51" s="242">
        <v>6224000</v>
      </c>
      <c r="CG51" s="247">
        <v>-3.2000000000000001E-2</v>
      </c>
      <c r="CH51" s="247">
        <v>0.06</v>
      </c>
      <c r="CI51" s="247">
        <v>2.8000000000000001E-2</v>
      </c>
    </row>
    <row r="52" spans="1:87" s="60" customFormat="1" ht="22.8" hidden="1" x14ac:dyDescent="0.3">
      <c r="A52" s="233">
        <v>9914</v>
      </c>
      <c r="B52" s="233" t="s">
        <v>104</v>
      </c>
      <c r="C52" s="233" t="s">
        <v>83</v>
      </c>
      <c r="D52" s="233">
        <v>16665</v>
      </c>
      <c r="E52" s="233">
        <v>2025</v>
      </c>
      <c r="F52" s="233" t="s">
        <v>275</v>
      </c>
      <c r="G52" s="233">
        <v>5</v>
      </c>
      <c r="H52" s="233">
        <v>12</v>
      </c>
      <c r="I52" s="233" t="s">
        <v>715</v>
      </c>
      <c r="J52" s="234">
        <v>0</v>
      </c>
      <c r="K52" s="234">
        <v>0</v>
      </c>
      <c r="L52" s="234">
        <v>0</v>
      </c>
      <c r="M52" s="234">
        <v>0</v>
      </c>
      <c r="N52" s="234">
        <v>0</v>
      </c>
      <c r="O52" s="234">
        <v>0</v>
      </c>
      <c r="P52" s="234">
        <v>0</v>
      </c>
      <c r="Q52" s="242">
        <v>0</v>
      </c>
      <c r="R52" s="234">
        <v>0</v>
      </c>
      <c r="S52" s="234">
        <v>0</v>
      </c>
      <c r="T52" s="234">
        <v>0</v>
      </c>
      <c r="U52" s="234">
        <v>0</v>
      </c>
      <c r="V52" s="234">
        <v>0</v>
      </c>
      <c r="W52" s="234">
        <v>0</v>
      </c>
      <c r="X52" s="242">
        <v>0</v>
      </c>
      <c r="Y52" s="234">
        <v>0</v>
      </c>
      <c r="Z52" s="242">
        <v>0</v>
      </c>
      <c r="AA52" s="242">
        <v>0</v>
      </c>
      <c r="AB52" s="234">
        <v>0</v>
      </c>
      <c r="AC52" s="234">
        <v>0</v>
      </c>
      <c r="AD52" s="234">
        <v>0</v>
      </c>
      <c r="AE52" s="234">
        <v>0</v>
      </c>
      <c r="AF52" s="242">
        <v>0</v>
      </c>
      <c r="AG52" s="234">
        <v>0</v>
      </c>
      <c r="AH52" s="234">
        <v>0</v>
      </c>
      <c r="AI52" s="234">
        <v>0</v>
      </c>
      <c r="AJ52" s="242">
        <v>0</v>
      </c>
      <c r="AK52" s="242">
        <v>0</v>
      </c>
      <c r="AL52" s="234">
        <v>0</v>
      </c>
      <c r="AM52" s="234">
        <v>0</v>
      </c>
      <c r="AN52" s="234">
        <v>0</v>
      </c>
      <c r="AO52" s="242">
        <v>0</v>
      </c>
      <c r="AP52" s="242">
        <v>0</v>
      </c>
      <c r="AQ52" s="234">
        <v>494222000</v>
      </c>
      <c r="AR52" s="234">
        <v>0</v>
      </c>
      <c r="AS52" s="234">
        <v>570215000</v>
      </c>
      <c r="AT52" s="234">
        <v>0</v>
      </c>
      <c r="AU52" s="234">
        <v>0</v>
      </c>
      <c r="AV52" s="234">
        <v>0</v>
      </c>
      <c r="AW52" s="242">
        <v>1064437000</v>
      </c>
      <c r="AX52" s="234">
        <v>34412000</v>
      </c>
      <c r="AY52" s="234">
        <v>0</v>
      </c>
      <c r="AZ52" s="234">
        <v>948000</v>
      </c>
      <c r="BA52" s="234">
        <v>4438000</v>
      </c>
      <c r="BB52" s="234">
        <v>0</v>
      </c>
      <c r="BC52" s="242">
        <v>39798000</v>
      </c>
      <c r="BD52" s="242">
        <v>1104235000</v>
      </c>
      <c r="BE52" s="234">
        <v>949814000</v>
      </c>
      <c r="BF52" s="234">
        <v>0</v>
      </c>
      <c r="BG52" s="234">
        <v>1318000</v>
      </c>
      <c r="BH52" s="234">
        <v>0</v>
      </c>
      <c r="BI52" s="234">
        <v>0</v>
      </c>
      <c r="BJ52" s="234">
        <v>99356000</v>
      </c>
      <c r="BK52" s="234">
        <v>0</v>
      </c>
      <c r="BL52" s="242">
        <v>1050488000</v>
      </c>
      <c r="BM52" s="242">
        <v>53747000</v>
      </c>
      <c r="BN52" s="234">
        <v>0</v>
      </c>
      <c r="BO52" s="234">
        <v>2000</v>
      </c>
      <c r="BP52" s="234">
        <v>53749000</v>
      </c>
      <c r="BQ52" s="234">
        <v>0</v>
      </c>
      <c r="BR52" s="234">
        <v>0</v>
      </c>
      <c r="BS52" s="242">
        <v>53749000</v>
      </c>
      <c r="BT52" s="243">
        <v>1.2999999999999999E-2</v>
      </c>
      <c r="BU52" s="243">
        <v>3.5999999999999997E-2</v>
      </c>
      <c r="BV52" s="243">
        <v>4.9000000000000002E-2</v>
      </c>
      <c r="BW52" s="244">
        <v>0</v>
      </c>
      <c r="BX52" s="245">
        <v>0</v>
      </c>
      <c r="BY52" s="245">
        <v>0</v>
      </c>
      <c r="BZ52" s="246">
        <f t="shared" si="2"/>
        <v>41.059939301972683</v>
      </c>
      <c r="CA52" s="247">
        <v>0</v>
      </c>
      <c r="CB52" s="247">
        <v>0</v>
      </c>
      <c r="CC52" s="248">
        <v>0</v>
      </c>
      <c r="CD52" s="249">
        <v>0</v>
      </c>
      <c r="CE52" s="247" t="e">
        <f t="shared" si="3"/>
        <v>#DIV/0!</v>
      </c>
      <c r="CF52" s="242">
        <v>53747000</v>
      </c>
      <c r="CG52" s="243">
        <v>1.2999999999999999E-2</v>
      </c>
      <c r="CH52" s="243">
        <v>3.5999999999999997E-2</v>
      </c>
      <c r="CI52" s="243">
        <v>4.9000000000000002E-2</v>
      </c>
    </row>
    <row r="53" spans="1:87" s="60" customFormat="1" ht="22.8" x14ac:dyDescent="0.3">
      <c r="A53" s="238">
        <v>14496</v>
      </c>
      <c r="B53" s="238" t="s">
        <v>199</v>
      </c>
      <c r="C53" s="238" t="s">
        <v>77</v>
      </c>
      <c r="D53" s="238">
        <v>6755</v>
      </c>
      <c r="E53" s="238">
        <v>2025</v>
      </c>
      <c r="F53" s="238" t="s">
        <v>275</v>
      </c>
      <c r="G53" s="238">
        <v>5</v>
      </c>
      <c r="H53" s="238">
        <v>12</v>
      </c>
      <c r="I53" s="238" t="s">
        <v>715</v>
      </c>
      <c r="J53" s="239">
        <v>2644000</v>
      </c>
      <c r="K53" s="239">
        <v>532000</v>
      </c>
      <c r="L53" s="239">
        <v>0</v>
      </c>
      <c r="M53" s="239">
        <v>30256000</v>
      </c>
      <c r="N53" s="239">
        <v>535271000</v>
      </c>
      <c r="O53" s="239">
        <v>3284000</v>
      </c>
      <c r="P53" s="239">
        <v>7343000</v>
      </c>
      <c r="Q53" s="242">
        <v>579330000</v>
      </c>
      <c r="R53" s="239">
        <v>27819000</v>
      </c>
      <c r="S53" s="239">
        <v>0</v>
      </c>
      <c r="T53" s="239">
        <v>0</v>
      </c>
      <c r="U53" s="239">
        <v>0</v>
      </c>
      <c r="V53" s="239">
        <v>287633000</v>
      </c>
      <c r="W53" s="239">
        <v>181490000</v>
      </c>
      <c r="X53" s="242">
        <v>106143000</v>
      </c>
      <c r="Y53" s="239">
        <v>95902000</v>
      </c>
      <c r="Z53" s="242">
        <v>229864000</v>
      </c>
      <c r="AA53" s="242">
        <v>809194000</v>
      </c>
      <c r="AB53" s="239">
        <v>0</v>
      </c>
      <c r="AC53" s="239">
        <v>897000</v>
      </c>
      <c r="AD53" s="239">
        <v>556338000</v>
      </c>
      <c r="AE53" s="239">
        <v>20894000</v>
      </c>
      <c r="AF53" s="242">
        <v>578129000</v>
      </c>
      <c r="AG53" s="239">
        <v>0</v>
      </c>
      <c r="AH53" s="239">
        <v>53931000</v>
      </c>
      <c r="AI53" s="239">
        <v>4028000</v>
      </c>
      <c r="AJ53" s="242">
        <v>57959000</v>
      </c>
      <c r="AK53" s="242">
        <v>636088000</v>
      </c>
      <c r="AL53" s="239">
        <v>137507000</v>
      </c>
      <c r="AM53" s="239">
        <v>9567000</v>
      </c>
      <c r="AN53" s="239">
        <v>26033000</v>
      </c>
      <c r="AO53" s="242">
        <v>173107000</v>
      </c>
      <c r="AP53" s="242">
        <v>809195000</v>
      </c>
      <c r="AQ53" s="239">
        <v>265137000</v>
      </c>
      <c r="AR53" s="239">
        <v>0</v>
      </c>
      <c r="AS53" s="239">
        <v>15857000</v>
      </c>
      <c r="AT53" s="239">
        <v>0</v>
      </c>
      <c r="AU53" s="239">
        <v>0</v>
      </c>
      <c r="AV53" s="239">
        <v>1234000</v>
      </c>
      <c r="AW53" s="242">
        <v>282228000</v>
      </c>
      <c r="AX53" s="239">
        <v>573000</v>
      </c>
      <c r="AY53" s="239">
        <v>322000</v>
      </c>
      <c r="AZ53" s="239">
        <v>0</v>
      </c>
      <c r="BA53" s="239">
        <v>6955000</v>
      </c>
      <c r="BB53" s="239">
        <v>0</v>
      </c>
      <c r="BC53" s="242">
        <v>7850000</v>
      </c>
      <c r="BD53" s="242">
        <v>290078000</v>
      </c>
      <c r="BE53" s="239">
        <v>105561000</v>
      </c>
      <c r="BF53" s="239">
        <v>0</v>
      </c>
      <c r="BG53" s="239">
        <v>12649000</v>
      </c>
      <c r="BH53" s="239">
        <v>2777000</v>
      </c>
      <c r="BI53" s="239">
        <v>4768000</v>
      </c>
      <c r="BJ53" s="239">
        <v>160914000</v>
      </c>
      <c r="BK53" s="239">
        <v>0</v>
      </c>
      <c r="BL53" s="242">
        <v>286669000</v>
      </c>
      <c r="BM53" s="242">
        <v>3409000</v>
      </c>
      <c r="BN53" s="239">
        <v>-2473000</v>
      </c>
      <c r="BO53" s="239">
        <v>638000</v>
      </c>
      <c r="BP53" s="239">
        <v>1574000</v>
      </c>
      <c r="BQ53" s="239">
        <v>0</v>
      </c>
      <c r="BR53" s="239">
        <v>0</v>
      </c>
      <c r="BS53" s="242">
        <v>1574000</v>
      </c>
      <c r="BT53" s="243">
        <v>-1.4999999999999999E-2</v>
      </c>
      <c r="BU53" s="243">
        <v>2.7E-2</v>
      </c>
      <c r="BV53" s="243">
        <v>1.2E-2</v>
      </c>
      <c r="BW53" s="244">
        <v>1</v>
      </c>
      <c r="BX53" s="245">
        <v>42</v>
      </c>
      <c r="BY53" s="245">
        <v>769</v>
      </c>
      <c r="BZ53" s="246">
        <f t="shared" si="2"/>
        <v>1.4890505178274962</v>
      </c>
      <c r="CA53" s="247">
        <v>2.8000000000000001E-2</v>
      </c>
      <c r="CB53" s="247">
        <v>0.214</v>
      </c>
      <c r="CC53" s="248">
        <v>14</v>
      </c>
      <c r="CD53" s="249">
        <v>4</v>
      </c>
      <c r="CE53" s="247">
        <f t="shared" si="3"/>
        <v>0</v>
      </c>
      <c r="CF53" s="242">
        <v>3409000</v>
      </c>
      <c r="CG53" s="243">
        <v>-1.4999999999999999E-2</v>
      </c>
      <c r="CH53" s="243">
        <v>2.7E-2</v>
      </c>
      <c r="CI53" s="243">
        <v>1.2E-2</v>
      </c>
    </row>
    <row r="54" spans="1:87" s="60" customFormat="1" ht="22.8" x14ac:dyDescent="0.3">
      <c r="A54" s="233">
        <v>14496</v>
      </c>
      <c r="B54" s="233" t="s">
        <v>199</v>
      </c>
      <c r="C54" s="233" t="s">
        <v>77</v>
      </c>
      <c r="D54" s="233">
        <v>6755</v>
      </c>
      <c r="E54" s="233">
        <v>2025</v>
      </c>
      <c r="F54" s="233" t="s">
        <v>275</v>
      </c>
      <c r="G54" s="233">
        <v>5</v>
      </c>
      <c r="H54" s="233">
        <v>12</v>
      </c>
      <c r="I54" s="233" t="s">
        <v>715</v>
      </c>
      <c r="J54" s="234">
        <v>2644000</v>
      </c>
      <c r="K54" s="234">
        <v>532000</v>
      </c>
      <c r="L54" s="234">
        <v>0</v>
      </c>
      <c r="M54" s="234">
        <v>30256000</v>
      </c>
      <c r="N54" s="234">
        <v>535271000</v>
      </c>
      <c r="O54" s="234">
        <v>3284000</v>
      </c>
      <c r="P54" s="234">
        <v>7343000</v>
      </c>
      <c r="Q54" s="242">
        <v>579330000</v>
      </c>
      <c r="R54" s="234">
        <v>27819000</v>
      </c>
      <c r="S54" s="234">
        <v>0</v>
      </c>
      <c r="T54" s="234">
        <v>0</v>
      </c>
      <c r="U54" s="234">
        <v>0</v>
      </c>
      <c r="V54" s="234">
        <v>287633000</v>
      </c>
      <c r="W54" s="234">
        <v>181490000</v>
      </c>
      <c r="X54" s="242">
        <v>106143000</v>
      </c>
      <c r="Y54" s="234">
        <v>95902000</v>
      </c>
      <c r="Z54" s="242">
        <v>229864000</v>
      </c>
      <c r="AA54" s="242">
        <v>809194000</v>
      </c>
      <c r="AB54" s="234">
        <v>0</v>
      </c>
      <c r="AC54" s="234">
        <v>897000</v>
      </c>
      <c r="AD54" s="234">
        <v>556338000</v>
      </c>
      <c r="AE54" s="234">
        <v>20894000</v>
      </c>
      <c r="AF54" s="242">
        <v>578129000</v>
      </c>
      <c r="AG54" s="234">
        <v>0</v>
      </c>
      <c r="AH54" s="234">
        <v>53931000</v>
      </c>
      <c r="AI54" s="234">
        <v>4028000</v>
      </c>
      <c r="AJ54" s="242">
        <v>57959000</v>
      </c>
      <c r="AK54" s="242">
        <v>636088000</v>
      </c>
      <c r="AL54" s="234">
        <v>137507000</v>
      </c>
      <c r="AM54" s="234">
        <v>9567000</v>
      </c>
      <c r="AN54" s="234">
        <v>26033000</v>
      </c>
      <c r="AO54" s="242">
        <v>173107000</v>
      </c>
      <c r="AP54" s="242">
        <v>809195000</v>
      </c>
      <c r="AQ54" s="234">
        <v>265137000</v>
      </c>
      <c r="AR54" s="234">
        <v>0</v>
      </c>
      <c r="AS54" s="234">
        <v>15857000</v>
      </c>
      <c r="AT54" s="234">
        <v>0</v>
      </c>
      <c r="AU54" s="234">
        <v>0</v>
      </c>
      <c r="AV54" s="234">
        <v>1234000</v>
      </c>
      <c r="AW54" s="242">
        <v>282228000</v>
      </c>
      <c r="AX54" s="234">
        <v>573000</v>
      </c>
      <c r="AY54" s="234">
        <v>322000</v>
      </c>
      <c r="AZ54" s="234">
        <v>0</v>
      </c>
      <c r="BA54" s="234">
        <v>6955000</v>
      </c>
      <c r="BB54" s="234">
        <v>0</v>
      </c>
      <c r="BC54" s="242">
        <v>7850000</v>
      </c>
      <c r="BD54" s="242">
        <v>290078000</v>
      </c>
      <c r="BE54" s="234">
        <v>105561000</v>
      </c>
      <c r="BF54" s="234">
        <v>0</v>
      </c>
      <c r="BG54" s="234">
        <v>12649000</v>
      </c>
      <c r="BH54" s="234">
        <v>2777000</v>
      </c>
      <c r="BI54" s="234">
        <v>4768000</v>
      </c>
      <c r="BJ54" s="234">
        <v>160914000</v>
      </c>
      <c r="BK54" s="234">
        <v>0</v>
      </c>
      <c r="BL54" s="242">
        <v>286669000</v>
      </c>
      <c r="BM54" s="242">
        <v>3409000</v>
      </c>
      <c r="BN54" s="234">
        <v>-2473000</v>
      </c>
      <c r="BO54" s="234">
        <v>638000</v>
      </c>
      <c r="BP54" s="234">
        <v>1574000</v>
      </c>
      <c r="BQ54" s="234">
        <v>0</v>
      </c>
      <c r="BR54" s="234">
        <v>0</v>
      </c>
      <c r="BS54" s="242">
        <v>1574000</v>
      </c>
      <c r="BT54" s="247">
        <v>-1.4999999999999999E-2</v>
      </c>
      <c r="BU54" s="247">
        <v>2.7E-2</v>
      </c>
      <c r="BV54" s="247">
        <v>1.2E-2</v>
      </c>
      <c r="BW54" s="244">
        <v>1</v>
      </c>
      <c r="BX54" s="245">
        <v>42</v>
      </c>
      <c r="BY54" s="245">
        <v>769</v>
      </c>
      <c r="BZ54" s="246">
        <f t="shared" si="2"/>
        <v>1.4890505178274962</v>
      </c>
      <c r="CA54" s="247">
        <v>2.8000000000000001E-2</v>
      </c>
      <c r="CB54" s="247">
        <v>0.214</v>
      </c>
      <c r="CC54" s="248">
        <v>14</v>
      </c>
      <c r="CD54" s="248"/>
      <c r="CE54" s="247">
        <f t="shared" si="3"/>
        <v>0</v>
      </c>
      <c r="CF54" s="242">
        <v>3409000</v>
      </c>
      <c r="CG54" s="247">
        <v>-1.4999999999999999E-2</v>
      </c>
      <c r="CH54" s="247">
        <v>2.7E-2</v>
      </c>
      <c r="CI54" s="247">
        <v>1.2E-2</v>
      </c>
    </row>
    <row r="55" spans="1:87" s="60" customFormat="1" ht="22.8" hidden="1" x14ac:dyDescent="0.3">
      <c r="A55" s="238">
        <v>12807</v>
      </c>
      <c r="B55" s="238" t="s">
        <v>133</v>
      </c>
      <c r="C55" s="238" t="s">
        <v>75</v>
      </c>
      <c r="D55" s="238">
        <v>12807</v>
      </c>
      <c r="E55" s="238">
        <v>2025</v>
      </c>
      <c r="F55" s="238" t="s">
        <v>275</v>
      </c>
      <c r="G55" s="238">
        <v>5</v>
      </c>
      <c r="H55" s="238">
        <v>12</v>
      </c>
      <c r="I55" s="238" t="s">
        <v>715</v>
      </c>
      <c r="J55" s="239">
        <v>13071734</v>
      </c>
      <c r="K55" s="239">
        <v>0</v>
      </c>
      <c r="L55" s="239">
        <v>0</v>
      </c>
      <c r="M55" s="239">
        <v>27553606</v>
      </c>
      <c r="N55" s="239">
        <v>0</v>
      </c>
      <c r="O55" s="239">
        <v>0</v>
      </c>
      <c r="P55" s="239">
        <v>7600988</v>
      </c>
      <c r="Q55" s="242">
        <v>48226328</v>
      </c>
      <c r="R55" s="239">
        <v>5713426</v>
      </c>
      <c r="S55" s="239">
        <v>0</v>
      </c>
      <c r="T55" s="239">
        <v>0</v>
      </c>
      <c r="U55" s="239">
        <v>0</v>
      </c>
      <c r="V55" s="239">
        <v>194684059</v>
      </c>
      <c r="W55" s="239">
        <v>117270151</v>
      </c>
      <c r="X55" s="242">
        <v>77413908</v>
      </c>
      <c r="Y55" s="239">
        <v>21036537</v>
      </c>
      <c r="Z55" s="242">
        <v>104163871</v>
      </c>
      <c r="AA55" s="242">
        <v>152390199</v>
      </c>
      <c r="AB55" s="239">
        <v>1239820</v>
      </c>
      <c r="AC55" s="239">
        <v>5649525</v>
      </c>
      <c r="AD55" s="239">
        <v>0</v>
      </c>
      <c r="AE55" s="239">
        <v>40285341</v>
      </c>
      <c r="AF55" s="242">
        <v>47174686</v>
      </c>
      <c r="AG55" s="239">
        <v>62892256</v>
      </c>
      <c r="AH55" s="239">
        <v>0</v>
      </c>
      <c r="AI55" s="239">
        <v>3671631</v>
      </c>
      <c r="AJ55" s="242">
        <v>66563887</v>
      </c>
      <c r="AK55" s="242">
        <v>113738573</v>
      </c>
      <c r="AL55" s="239">
        <v>31236944</v>
      </c>
      <c r="AM55" s="239">
        <v>5020055</v>
      </c>
      <c r="AN55" s="239">
        <v>2394627</v>
      </c>
      <c r="AO55" s="242">
        <v>38651626</v>
      </c>
      <c r="AP55" s="242">
        <v>152390199</v>
      </c>
      <c r="AQ55" s="239">
        <v>218916900</v>
      </c>
      <c r="AR55" s="239">
        <v>0</v>
      </c>
      <c r="AS55" s="239">
        <v>48894907</v>
      </c>
      <c r="AT55" s="239">
        <v>0</v>
      </c>
      <c r="AU55" s="239">
        <v>0</v>
      </c>
      <c r="AV55" s="239">
        <v>0</v>
      </c>
      <c r="AW55" s="242">
        <v>267811807</v>
      </c>
      <c r="AX55" s="239">
        <v>13640</v>
      </c>
      <c r="AY55" s="239">
        <v>118659</v>
      </c>
      <c r="AZ55" s="239">
        <v>0</v>
      </c>
      <c r="BA55" s="239">
        <v>20553</v>
      </c>
      <c r="BB55" s="239">
        <v>0</v>
      </c>
      <c r="BC55" s="242">
        <v>152852</v>
      </c>
      <c r="BD55" s="242">
        <v>267964659</v>
      </c>
      <c r="BE55" s="239">
        <v>122144952</v>
      </c>
      <c r="BF55" s="239">
        <v>0</v>
      </c>
      <c r="BG55" s="239">
        <v>6647595</v>
      </c>
      <c r="BH55" s="239">
        <v>1037937</v>
      </c>
      <c r="BI55" s="239">
        <v>12618724</v>
      </c>
      <c r="BJ55" s="239">
        <v>117029299</v>
      </c>
      <c r="BK55" s="239">
        <v>0</v>
      </c>
      <c r="BL55" s="242">
        <v>259478507</v>
      </c>
      <c r="BM55" s="242">
        <v>8486152</v>
      </c>
      <c r="BN55" s="239">
        <v>0</v>
      </c>
      <c r="BO55" s="239">
        <v>0</v>
      </c>
      <c r="BP55" s="239">
        <v>8486152</v>
      </c>
      <c r="BQ55" s="239">
        <v>0</v>
      </c>
      <c r="BR55" s="239">
        <v>0</v>
      </c>
      <c r="BS55" s="242">
        <v>8486152</v>
      </c>
      <c r="BT55" s="243">
        <v>3.1E-2</v>
      </c>
      <c r="BU55" s="243">
        <v>1E-3</v>
      </c>
      <c r="BV55" s="243">
        <v>3.2000000000000001E-2</v>
      </c>
      <c r="BW55" s="244">
        <v>1</v>
      </c>
      <c r="BX55" s="245">
        <v>46</v>
      </c>
      <c r="BY55" s="245">
        <v>60</v>
      </c>
      <c r="BZ55" s="246">
        <f t="shared" si="2"/>
        <v>2.0503148369903195</v>
      </c>
      <c r="CA55" s="247">
        <v>0.13700000000000001</v>
      </c>
      <c r="CB55" s="247">
        <v>0.254</v>
      </c>
      <c r="CC55" s="248">
        <v>18</v>
      </c>
      <c r="CD55" s="249">
        <v>19</v>
      </c>
      <c r="CE55" s="247">
        <f t="shared" si="3"/>
        <v>0.66814820480785986</v>
      </c>
      <c r="CF55" s="242">
        <v>8486152</v>
      </c>
      <c r="CG55" s="243">
        <v>3.1E-2</v>
      </c>
      <c r="CH55" s="243">
        <v>1E-3</v>
      </c>
      <c r="CI55" s="243">
        <v>3.2000000000000001E-2</v>
      </c>
    </row>
    <row r="56" spans="1:87" s="60" customFormat="1" ht="22.8" x14ac:dyDescent="0.3">
      <c r="A56" s="238">
        <v>73</v>
      </c>
      <c r="B56" s="238" t="s">
        <v>136</v>
      </c>
      <c r="C56" s="238" t="s">
        <v>77</v>
      </c>
      <c r="D56" s="238">
        <v>12807</v>
      </c>
      <c r="E56" s="238">
        <v>2025</v>
      </c>
      <c r="F56" s="238" t="s">
        <v>275</v>
      </c>
      <c r="G56" s="238">
        <v>5</v>
      </c>
      <c r="H56" s="238">
        <v>12</v>
      </c>
      <c r="I56" s="238" t="s">
        <v>715</v>
      </c>
      <c r="J56" s="239">
        <v>5799255</v>
      </c>
      <c r="K56" s="239">
        <v>0</v>
      </c>
      <c r="L56" s="239">
        <v>0</v>
      </c>
      <c r="M56" s="239">
        <v>19894939</v>
      </c>
      <c r="N56" s="239">
        <v>0</v>
      </c>
      <c r="O56" s="239">
        <v>0</v>
      </c>
      <c r="P56" s="239">
        <v>6559453</v>
      </c>
      <c r="Q56" s="242">
        <v>32253647</v>
      </c>
      <c r="R56" s="239">
        <v>3784077</v>
      </c>
      <c r="S56" s="239">
        <v>0</v>
      </c>
      <c r="T56" s="239">
        <v>0</v>
      </c>
      <c r="U56" s="239">
        <v>0</v>
      </c>
      <c r="V56" s="239">
        <v>144812390</v>
      </c>
      <c r="W56" s="239">
        <v>90573932</v>
      </c>
      <c r="X56" s="242">
        <v>54238458</v>
      </c>
      <c r="Y56" s="239">
        <v>2668077</v>
      </c>
      <c r="Z56" s="242">
        <v>60690612</v>
      </c>
      <c r="AA56" s="242">
        <v>92944259</v>
      </c>
      <c r="AB56" s="239">
        <v>1239820</v>
      </c>
      <c r="AC56" s="239">
        <v>2185575</v>
      </c>
      <c r="AD56" s="239">
        <v>0</v>
      </c>
      <c r="AE56" s="239">
        <v>29978992</v>
      </c>
      <c r="AF56" s="242">
        <v>33404387</v>
      </c>
      <c r="AG56" s="239">
        <v>46232256</v>
      </c>
      <c r="AH56" s="239">
        <v>0</v>
      </c>
      <c r="AI56" s="239">
        <v>2186324</v>
      </c>
      <c r="AJ56" s="242">
        <v>48418580</v>
      </c>
      <c r="AK56" s="242">
        <v>81822967</v>
      </c>
      <c r="AL56" s="239">
        <v>5666348</v>
      </c>
      <c r="AM56" s="239">
        <v>0</v>
      </c>
      <c r="AN56" s="239">
        <v>5454935</v>
      </c>
      <c r="AO56" s="242">
        <v>11121283</v>
      </c>
      <c r="AP56" s="242">
        <v>92944250</v>
      </c>
      <c r="AQ56" s="239">
        <v>170540897</v>
      </c>
      <c r="AR56" s="239">
        <v>0</v>
      </c>
      <c r="AS56" s="239">
        <v>35881296</v>
      </c>
      <c r="AT56" s="239">
        <v>0</v>
      </c>
      <c r="AU56" s="239">
        <v>0</v>
      </c>
      <c r="AV56" s="239">
        <v>0</v>
      </c>
      <c r="AW56" s="242">
        <v>206422193</v>
      </c>
      <c r="AX56" s="239">
        <v>11245</v>
      </c>
      <c r="AY56" s="239">
        <v>9659</v>
      </c>
      <c r="AZ56" s="239">
        <v>0</v>
      </c>
      <c r="BA56" s="239">
        <v>20553</v>
      </c>
      <c r="BB56" s="239">
        <v>0</v>
      </c>
      <c r="BC56" s="242">
        <v>41457</v>
      </c>
      <c r="BD56" s="242">
        <v>206463650</v>
      </c>
      <c r="BE56" s="239">
        <v>91015482</v>
      </c>
      <c r="BF56" s="239">
        <v>0</v>
      </c>
      <c r="BG56" s="239">
        <v>5069095</v>
      </c>
      <c r="BH56" s="239">
        <v>997623</v>
      </c>
      <c r="BI56" s="239">
        <v>12311504</v>
      </c>
      <c r="BJ56" s="239">
        <v>92400099</v>
      </c>
      <c r="BK56" s="239">
        <v>0</v>
      </c>
      <c r="BL56" s="242">
        <v>201793803</v>
      </c>
      <c r="BM56" s="242">
        <v>4669847</v>
      </c>
      <c r="BN56" s="239">
        <v>5657241</v>
      </c>
      <c r="BO56" s="239">
        <v>0</v>
      </c>
      <c r="BP56" s="239">
        <v>10327088</v>
      </c>
      <c r="BQ56" s="239">
        <v>0</v>
      </c>
      <c r="BR56" s="239">
        <v>0</v>
      </c>
      <c r="BS56" s="242">
        <v>10327088</v>
      </c>
      <c r="BT56" s="243">
        <v>2.1999999999999999E-2</v>
      </c>
      <c r="BU56" s="243">
        <v>0</v>
      </c>
      <c r="BV56" s="243">
        <v>2.3E-2</v>
      </c>
      <c r="BW56" s="244">
        <v>1</v>
      </c>
      <c r="BX56" s="245">
        <v>43</v>
      </c>
      <c r="BY56" s="245">
        <v>58</v>
      </c>
      <c r="BZ56" s="246">
        <f t="shared" si="2"/>
        <v>1.7018084726137537</v>
      </c>
      <c r="CA56" s="247">
        <v>0.122</v>
      </c>
      <c r="CB56" s="247">
        <v>0.12</v>
      </c>
      <c r="CC56" s="248">
        <v>18</v>
      </c>
      <c r="CD56" s="249">
        <v>11</v>
      </c>
      <c r="CE56" s="247">
        <f t="shared" si="3"/>
        <v>0.8908188744344645</v>
      </c>
      <c r="CF56" s="242">
        <v>4669847</v>
      </c>
      <c r="CG56" s="243">
        <v>2.1999999999999999E-2</v>
      </c>
      <c r="CH56" s="243">
        <v>0</v>
      </c>
      <c r="CI56" s="243">
        <v>2.3E-2</v>
      </c>
    </row>
    <row r="57" spans="1:87" s="60" customFormat="1" ht="22.8" hidden="1" x14ac:dyDescent="0.3">
      <c r="A57" s="233">
        <v>10976</v>
      </c>
      <c r="B57" s="233" t="s">
        <v>137</v>
      </c>
      <c r="C57" s="233" t="s">
        <v>83</v>
      </c>
      <c r="D57" s="233">
        <v>12807</v>
      </c>
      <c r="E57" s="233">
        <v>2025</v>
      </c>
      <c r="F57" s="233" t="s">
        <v>275</v>
      </c>
      <c r="G57" s="233">
        <v>5</v>
      </c>
      <c r="H57" s="233">
        <v>12</v>
      </c>
      <c r="I57" s="233" t="s">
        <v>715</v>
      </c>
      <c r="J57" s="234">
        <v>0</v>
      </c>
      <c r="K57" s="234">
        <v>0</v>
      </c>
      <c r="L57" s="234">
        <v>0</v>
      </c>
      <c r="M57" s="234">
        <v>0</v>
      </c>
      <c r="N57" s="234">
        <v>0</v>
      </c>
      <c r="O57" s="234">
        <v>0</v>
      </c>
      <c r="P57" s="234">
        <v>0</v>
      </c>
      <c r="Q57" s="242">
        <v>0</v>
      </c>
      <c r="R57" s="234">
        <v>0</v>
      </c>
      <c r="S57" s="234">
        <v>0</v>
      </c>
      <c r="T57" s="234">
        <v>0</v>
      </c>
      <c r="U57" s="234">
        <v>0</v>
      </c>
      <c r="V57" s="234">
        <v>0</v>
      </c>
      <c r="W57" s="234">
        <v>0</v>
      </c>
      <c r="X57" s="242">
        <v>0</v>
      </c>
      <c r="Y57" s="234">
        <v>0</v>
      </c>
      <c r="Z57" s="242">
        <v>0</v>
      </c>
      <c r="AA57" s="242">
        <v>0</v>
      </c>
      <c r="AB57" s="234">
        <v>0</v>
      </c>
      <c r="AC57" s="234">
        <v>0</v>
      </c>
      <c r="AD57" s="234">
        <v>0</v>
      </c>
      <c r="AE57" s="234">
        <v>0</v>
      </c>
      <c r="AF57" s="242">
        <v>0</v>
      </c>
      <c r="AG57" s="234">
        <v>0</v>
      </c>
      <c r="AH57" s="234">
        <v>0</v>
      </c>
      <c r="AI57" s="234">
        <v>0</v>
      </c>
      <c r="AJ57" s="242">
        <v>0</v>
      </c>
      <c r="AK57" s="242">
        <v>0</v>
      </c>
      <c r="AL57" s="234">
        <v>0</v>
      </c>
      <c r="AM57" s="234">
        <v>0</v>
      </c>
      <c r="AN57" s="234">
        <v>0</v>
      </c>
      <c r="AO57" s="242">
        <v>0</v>
      </c>
      <c r="AP57" s="242">
        <v>0</v>
      </c>
      <c r="AQ57" s="234">
        <v>5654232</v>
      </c>
      <c r="AR57" s="234">
        <v>0</v>
      </c>
      <c r="AS57" s="234">
        <v>1664995</v>
      </c>
      <c r="AT57" s="234">
        <v>0</v>
      </c>
      <c r="AU57" s="234">
        <v>0</v>
      </c>
      <c r="AV57" s="234">
        <v>0</v>
      </c>
      <c r="AW57" s="242">
        <v>7319227</v>
      </c>
      <c r="AX57" s="234">
        <v>0</v>
      </c>
      <c r="AY57" s="234">
        <v>0</v>
      </c>
      <c r="AZ57" s="234">
        <v>0</v>
      </c>
      <c r="BA57" s="234">
        <v>0</v>
      </c>
      <c r="BB57" s="234">
        <v>0</v>
      </c>
      <c r="BC57" s="242">
        <v>0</v>
      </c>
      <c r="BD57" s="242">
        <v>7319227</v>
      </c>
      <c r="BE57" s="234">
        <v>15202435</v>
      </c>
      <c r="BF57" s="234">
        <v>0</v>
      </c>
      <c r="BG57" s="234">
        <v>48014</v>
      </c>
      <c r="BH57" s="234">
        <v>0</v>
      </c>
      <c r="BI57" s="234">
        <v>0</v>
      </c>
      <c r="BJ57" s="234">
        <v>-1879860</v>
      </c>
      <c r="BK57" s="234">
        <v>0</v>
      </c>
      <c r="BL57" s="242">
        <v>13370589</v>
      </c>
      <c r="BM57" s="242">
        <v>-6051362</v>
      </c>
      <c r="BN57" s="234">
        <v>15628789</v>
      </c>
      <c r="BO57" s="234">
        <v>0</v>
      </c>
      <c r="BP57" s="234">
        <v>9577427</v>
      </c>
      <c r="BQ57" s="234">
        <v>0</v>
      </c>
      <c r="BR57" s="234">
        <v>0</v>
      </c>
      <c r="BS57" s="242">
        <v>9577427</v>
      </c>
      <c r="BT57" s="243">
        <v>-0.82699999999999996</v>
      </c>
      <c r="BU57" s="243">
        <v>0</v>
      </c>
      <c r="BV57" s="243">
        <v>-0.82699999999999996</v>
      </c>
      <c r="BW57" s="244">
        <v>0</v>
      </c>
      <c r="BX57" s="245">
        <v>0</v>
      </c>
      <c r="BY57" s="245">
        <v>0</v>
      </c>
      <c r="BZ57" s="246">
        <f t="shared" si="2"/>
        <v>-125.03328195942851</v>
      </c>
      <c r="CA57" s="247">
        <v>0</v>
      </c>
      <c r="CB57" s="247">
        <v>0</v>
      </c>
      <c r="CC57" s="248">
        <v>0</v>
      </c>
      <c r="CD57" s="249">
        <v>0</v>
      </c>
      <c r="CE57" s="247" t="e">
        <f t="shared" si="3"/>
        <v>#DIV/0!</v>
      </c>
      <c r="CF57" s="242">
        <v>-6051362</v>
      </c>
      <c r="CG57" s="243">
        <v>-0.82699999999999996</v>
      </c>
      <c r="CH57" s="243">
        <v>0</v>
      </c>
      <c r="CI57" s="243">
        <v>-0.82699999999999996</v>
      </c>
    </row>
    <row r="58" spans="1:87" s="60" customFormat="1" ht="22.8" x14ac:dyDescent="0.3">
      <c r="A58" s="233">
        <v>75</v>
      </c>
      <c r="B58" s="233" t="s">
        <v>176</v>
      </c>
      <c r="C58" s="233" t="s">
        <v>77</v>
      </c>
      <c r="D58" s="233">
        <v>13156</v>
      </c>
      <c r="E58" s="233">
        <v>2025</v>
      </c>
      <c r="F58" s="233" t="s">
        <v>275</v>
      </c>
      <c r="G58" s="233">
        <v>5</v>
      </c>
      <c r="H58" s="233">
        <v>12</v>
      </c>
      <c r="I58" s="233" t="s">
        <v>715</v>
      </c>
      <c r="J58" s="234">
        <v>8866000</v>
      </c>
      <c r="K58" s="234">
        <v>0</v>
      </c>
      <c r="L58" s="234">
        <v>0</v>
      </c>
      <c r="M58" s="234">
        <v>23559000</v>
      </c>
      <c r="N58" s="234">
        <v>36393000</v>
      </c>
      <c r="O58" s="234">
        <v>10493000</v>
      </c>
      <c r="P58" s="234">
        <v>5641000</v>
      </c>
      <c r="Q58" s="242">
        <v>84952000</v>
      </c>
      <c r="R58" s="234">
        <v>0</v>
      </c>
      <c r="S58" s="234">
        <v>0</v>
      </c>
      <c r="T58" s="234">
        <v>0</v>
      </c>
      <c r="U58" s="234">
        <v>0</v>
      </c>
      <c r="V58" s="234">
        <v>86931000</v>
      </c>
      <c r="W58" s="234">
        <v>6163000</v>
      </c>
      <c r="X58" s="242">
        <v>80768000</v>
      </c>
      <c r="Y58" s="234">
        <v>0</v>
      </c>
      <c r="Z58" s="242">
        <v>80768000</v>
      </c>
      <c r="AA58" s="242">
        <v>165720000</v>
      </c>
      <c r="AB58" s="234">
        <v>0</v>
      </c>
      <c r="AC58" s="234">
        <v>2560000</v>
      </c>
      <c r="AD58" s="234">
        <v>-15631000</v>
      </c>
      <c r="AE58" s="234">
        <v>81334000</v>
      </c>
      <c r="AF58" s="242">
        <v>68263000</v>
      </c>
      <c r="AG58" s="234">
        <v>0</v>
      </c>
      <c r="AH58" s="234">
        <v>0</v>
      </c>
      <c r="AI58" s="234">
        <v>0</v>
      </c>
      <c r="AJ58" s="242">
        <v>0</v>
      </c>
      <c r="AK58" s="242">
        <v>68263000</v>
      </c>
      <c r="AL58" s="234">
        <v>97457000</v>
      </c>
      <c r="AM58" s="234">
        <v>0</v>
      </c>
      <c r="AN58" s="234">
        <v>0</v>
      </c>
      <c r="AO58" s="242">
        <v>97457000</v>
      </c>
      <c r="AP58" s="242">
        <v>165720000</v>
      </c>
      <c r="AQ58" s="234">
        <v>173613000</v>
      </c>
      <c r="AR58" s="234">
        <v>0</v>
      </c>
      <c r="AS58" s="234">
        <v>134582000</v>
      </c>
      <c r="AT58" s="234">
        <v>0</v>
      </c>
      <c r="AU58" s="234">
        <v>0</v>
      </c>
      <c r="AV58" s="234">
        <v>0</v>
      </c>
      <c r="AW58" s="242">
        <v>308195000</v>
      </c>
      <c r="AX58" s="234">
        <v>0</v>
      </c>
      <c r="AY58" s="234">
        <v>0</v>
      </c>
      <c r="AZ58" s="234">
        <v>0</v>
      </c>
      <c r="BA58" s="234">
        <v>0</v>
      </c>
      <c r="BB58" s="234">
        <v>47893000</v>
      </c>
      <c r="BC58" s="242">
        <v>47893000</v>
      </c>
      <c r="BD58" s="242">
        <v>356088000</v>
      </c>
      <c r="BE58" s="234">
        <v>97774000</v>
      </c>
      <c r="BF58" s="234">
        <v>0</v>
      </c>
      <c r="BG58" s="234">
        <v>6163000</v>
      </c>
      <c r="BH58" s="234">
        <v>0</v>
      </c>
      <c r="BI58" s="234">
        <v>22080000</v>
      </c>
      <c r="BJ58" s="234">
        <v>132615000</v>
      </c>
      <c r="BK58" s="234">
        <v>0</v>
      </c>
      <c r="BL58" s="242">
        <v>258632000</v>
      </c>
      <c r="BM58" s="242">
        <v>97456000</v>
      </c>
      <c r="BN58" s="234">
        <v>0</v>
      </c>
      <c r="BO58" s="234">
        <v>0</v>
      </c>
      <c r="BP58" s="234">
        <v>97456000</v>
      </c>
      <c r="BQ58" s="234">
        <v>0</v>
      </c>
      <c r="BR58" s="234">
        <v>0</v>
      </c>
      <c r="BS58" s="242">
        <v>97456000</v>
      </c>
      <c r="BT58" s="243">
        <v>0.13900000000000001</v>
      </c>
      <c r="BU58" s="243">
        <v>0.13400000000000001</v>
      </c>
      <c r="BV58" s="243">
        <v>0.27400000000000002</v>
      </c>
      <c r="BW58" s="244">
        <v>1.2</v>
      </c>
      <c r="BX58" s="245">
        <v>50</v>
      </c>
      <c r="BY58" s="245">
        <v>95</v>
      </c>
      <c r="BZ58" s="246">
        <f t="shared" si="2"/>
        <v>16.81307804640597</v>
      </c>
      <c r="CA58" s="247">
        <v>1.518</v>
      </c>
      <c r="CB58" s="247">
        <v>0.58799999999999997</v>
      </c>
      <c r="CC58" s="248">
        <v>1</v>
      </c>
      <c r="CD58" s="249">
        <v>13</v>
      </c>
      <c r="CE58" s="247">
        <f t="shared" si="3"/>
        <v>0</v>
      </c>
      <c r="CF58" s="242">
        <v>97456000</v>
      </c>
      <c r="CG58" s="243">
        <v>0.13900000000000001</v>
      </c>
      <c r="CH58" s="243">
        <v>0.13400000000000001</v>
      </c>
      <c r="CI58" s="243">
        <v>0.27400000000000002</v>
      </c>
    </row>
    <row r="59" spans="1:87" s="60" customFormat="1" ht="22.8" x14ac:dyDescent="0.3">
      <c r="A59" s="233">
        <v>77</v>
      </c>
      <c r="B59" s="233" t="s">
        <v>205</v>
      </c>
      <c r="C59" s="233" t="s">
        <v>77</v>
      </c>
      <c r="D59" s="233">
        <v>12767</v>
      </c>
      <c r="E59" s="233">
        <v>2025</v>
      </c>
      <c r="F59" s="233" t="s">
        <v>275</v>
      </c>
      <c r="G59" s="233">
        <v>5</v>
      </c>
      <c r="H59" s="233">
        <v>12</v>
      </c>
      <c r="I59" s="233" t="s">
        <v>715</v>
      </c>
      <c r="J59" s="234">
        <v>17056106</v>
      </c>
      <c r="K59" s="234">
        <v>334880</v>
      </c>
      <c r="L59" s="234">
        <v>0</v>
      </c>
      <c r="M59" s="234">
        <v>38516013</v>
      </c>
      <c r="N59" s="234">
        <v>0</v>
      </c>
      <c r="O59" s="234">
        <v>0</v>
      </c>
      <c r="P59" s="234">
        <v>12428922</v>
      </c>
      <c r="Q59" s="242">
        <v>68335921</v>
      </c>
      <c r="R59" s="234">
        <v>5261733</v>
      </c>
      <c r="S59" s="234">
        <v>0</v>
      </c>
      <c r="T59" s="234"/>
      <c r="U59" s="234">
        <v>0</v>
      </c>
      <c r="V59" s="234">
        <v>155230713</v>
      </c>
      <c r="W59" s="234">
        <v>97087528</v>
      </c>
      <c r="X59" s="242">
        <v>58143185</v>
      </c>
      <c r="Y59" s="234">
        <v>8512225</v>
      </c>
      <c r="Z59" s="242">
        <v>76317601</v>
      </c>
      <c r="AA59" s="242">
        <v>144653522</v>
      </c>
      <c r="AB59" s="234">
        <v>2420236</v>
      </c>
      <c r="AC59" s="234">
        <v>4800818</v>
      </c>
      <c r="AD59" s="234">
        <v>0</v>
      </c>
      <c r="AE59" s="234">
        <v>48247018</v>
      </c>
      <c r="AF59" s="242">
        <v>55468072</v>
      </c>
      <c r="AG59" s="234">
        <v>18852259</v>
      </c>
      <c r="AH59" s="234">
        <v>0</v>
      </c>
      <c r="AI59" s="234">
        <v>8991269</v>
      </c>
      <c r="AJ59" s="242">
        <v>27843528</v>
      </c>
      <c r="AK59" s="242">
        <v>83311600</v>
      </c>
      <c r="AL59" s="234">
        <v>55623246</v>
      </c>
      <c r="AM59" s="234">
        <v>2745930</v>
      </c>
      <c r="AN59" s="234">
        <v>2972746</v>
      </c>
      <c r="AO59" s="242">
        <v>61341922</v>
      </c>
      <c r="AP59" s="242">
        <v>144653522</v>
      </c>
      <c r="AQ59" s="234">
        <v>247312881</v>
      </c>
      <c r="AR59" s="234">
        <v>0</v>
      </c>
      <c r="AS59" s="234">
        <v>51421653</v>
      </c>
      <c r="AT59" s="234">
        <v>0</v>
      </c>
      <c r="AU59" s="234">
        <v>0</v>
      </c>
      <c r="AV59" s="234">
        <v>27886</v>
      </c>
      <c r="AW59" s="242">
        <v>298762420</v>
      </c>
      <c r="AX59" s="234">
        <v>180645</v>
      </c>
      <c r="AY59" s="234">
        <v>28549</v>
      </c>
      <c r="AZ59" s="234">
        <v>-180645</v>
      </c>
      <c r="BA59" s="234">
        <v>266666</v>
      </c>
      <c r="BB59" s="234">
        <v>-30912817</v>
      </c>
      <c r="BC59" s="242">
        <v>-30617602</v>
      </c>
      <c r="BD59" s="242">
        <v>268144818</v>
      </c>
      <c r="BE59" s="234">
        <v>172275669</v>
      </c>
      <c r="BF59" s="234">
        <v>0</v>
      </c>
      <c r="BG59" s="234">
        <v>7168743</v>
      </c>
      <c r="BH59" s="234">
        <v>950771</v>
      </c>
      <c r="BI59" s="234">
        <v>7022268</v>
      </c>
      <c r="BJ59" s="234">
        <v>96082228</v>
      </c>
      <c r="BK59" s="234">
        <v>0</v>
      </c>
      <c r="BL59" s="242">
        <v>283499679</v>
      </c>
      <c r="BM59" s="242">
        <v>-15354861</v>
      </c>
      <c r="BN59" s="234">
        <v>4741467</v>
      </c>
      <c r="BO59" s="234">
        <v>35077</v>
      </c>
      <c r="BP59" s="234">
        <v>-10578317</v>
      </c>
      <c r="BQ59" s="234">
        <v>32091948</v>
      </c>
      <c r="BR59" s="234">
        <v>0</v>
      </c>
      <c r="BS59" s="242">
        <v>21513631</v>
      </c>
      <c r="BT59" s="247">
        <v>5.7000000000000002E-2</v>
      </c>
      <c r="BU59" s="247">
        <v>-0.114</v>
      </c>
      <c r="BV59" s="247">
        <v>-5.7000000000000002E-2</v>
      </c>
      <c r="BW59" s="244">
        <v>1.2</v>
      </c>
      <c r="BX59" s="245">
        <v>57</v>
      </c>
      <c r="BY59" s="245">
        <v>67</v>
      </c>
      <c r="BZ59" s="246">
        <f t="shared" si="2"/>
        <v>-0.73570940138673779</v>
      </c>
      <c r="CA59" s="247">
        <v>-0.11</v>
      </c>
      <c r="CB59" s="247">
        <v>0.42399999999999999</v>
      </c>
      <c r="CC59" s="248">
        <v>14</v>
      </c>
      <c r="CD59" s="248"/>
      <c r="CE59" s="247">
        <f t="shared" si="3"/>
        <v>0.25313368469270536</v>
      </c>
      <c r="CF59" s="242">
        <v>0</v>
      </c>
      <c r="CG59" s="247">
        <v>0</v>
      </c>
      <c r="CH59" s="247">
        <v>-15354861</v>
      </c>
      <c r="CI59" s="247">
        <v>5.7000000000000002E-2</v>
      </c>
    </row>
    <row r="60" spans="1:87" s="60" customFormat="1" ht="22.8" hidden="1" x14ac:dyDescent="0.3">
      <c r="A60" s="233">
        <v>12037</v>
      </c>
      <c r="B60" s="233" t="s">
        <v>105</v>
      </c>
      <c r="C60" s="233" t="s">
        <v>83</v>
      </c>
      <c r="D60" s="233">
        <v>16665</v>
      </c>
      <c r="E60" s="233">
        <v>2025</v>
      </c>
      <c r="F60" s="233" t="s">
        <v>275</v>
      </c>
      <c r="G60" s="233">
        <v>5</v>
      </c>
      <c r="H60" s="233">
        <v>12</v>
      </c>
      <c r="I60" s="233" t="s">
        <v>715</v>
      </c>
      <c r="J60" s="234">
        <v>0</v>
      </c>
      <c r="K60" s="234">
        <v>0</v>
      </c>
      <c r="L60" s="234">
        <v>0</v>
      </c>
      <c r="M60" s="234">
        <v>0</v>
      </c>
      <c r="N60" s="234">
        <v>0</v>
      </c>
      <c r="O60" s="234">
        <v>0</v>
      </c>
      <c r="P60" s="234">
        <v>0</v>
      </c>
      <c r="Q60" s="242">
        <v>0</v>
      </c>
      <c r="R60" s="234">
        <v>0</v>
      </c>
      <c r="S60" s="234">
        <v>0</v>
      </c>
      <c r="T60" s="234">
        <v>0</v>
      </c>
      <c r="U60" s="234">
        <v>0</v>
      </c>
      <c r="V60" s="234">
        <v>0</v>
      </c>
      <c r="W60" s="234">
        <v>0</v>
      </c>
      <c r="X60" s="242">
        <v>0</v>
      </c>
      <c r="Y60" s="234">
        <v>0</v>
      </c>
      <c r="Z60" s="242">
        <v>0</v>
      </c>
      <c r="AA60" s="242">
        <v>0</v>
      </c>
      <c r="AB60" s="234">
        <v>0</v>
      </c>
      <c r="AC60" s="234">
        <v>0</v>
      </c>
      <c r="AD60" s="234">
        <v>0</v>
      </c>
      <c r="AE60" s="234">
        <v>0</v>
      </c>
      <c r="AF60" s="242">
        <v>0</v>
      </c>
      <c r="AG60" s="234">
        <v>0</v>
      </c>
      <c r="AH60" s="234">
        <v>0</v>
      </c>
      <c r="AI60" s="234">
        <v>0</v>
      </c>
      <c r="AJ60" s="242">
        <v>0</v>
      </c>
      <c r="AK60" s="242">
        <v>0</v>
      </c>
      <c r="AL60" s="234">
        <v>0</v>
      </c>
      <c r="AM60" s="234">
        <v>0</v>
      </c>
      <c r="AN60" s="234">
        <v>0</v>
      </c>
      <c r="AO60" s="242">
        <v>0</v>
      </c>
      <c r="AP60" s="242">
        <v>0</v>
      </c>
      <c r="AQ60" s="234">
        <v>39628000</v>
      </c>
      <c r="AR60" s="234">
        <v>0</v>
      </c>
      <c r="AS60" s="234">
        <v>6240000</v>
      </c>
      <c r="AT60" s="234">
        <v>0</v>
      </c>
      <c r="AU60" s="234">
        <v>0</v>
      </c>
      <c r="AV60" s="234">
        <v>0</v>
      </c>
      <c r="AW60" s="242">
        <v>45868000</v>
      </c>
      <c r="AX60" s="234">
        <v>0</v>
      </c>
      <c r="AY60" s="234">
        <v>0</v>
      </c>
      <c r="AZ60" s="234">
        <v>0</v>
      </c>
      <c r="BA60" s="234">
        <v>0</v>
      </c>
      <c r="BB60" s="234">
        <v>0</v>
      </c>
      <c r="BC60" s="242">
        <v>0</v>
      </c>
      <c r="BD60" s="242">
        <v>45868000</v>
      </c>
      <c r="BE60" s="234">
        <v>54145000</v>
      </c>
      <c r="BF60" s="234">
        <v>0</v>
      </c>
      <c r="BG60" s="234">
        <v>717000</v>
      </c>
      <c r="BH60" s="234">
        <v>0</v>
      </c>
      <c r="BI60" s="234">
        <v>0</v>
      </c>
      <c r="BJ60" s="234">
        <v>11437000</v>
      </c>
      <c r="BK60" s="234">
        <v>0</v>
      </c>
      <c r="BL60" s="242">
        <v>66299000</v>
      </c>
      <c r="BM60" s="242">
        <v>-20431000</v>
      </c>
      <c r="BN60" s="234">
        <v>20431000</v>
      </c>
      <c r="BO60" s="234">
        <v>0</v>
      </c>
      <c r="BP60" s="234">
        <v>0</v>
      </c>
      <c r="BQ60" s="234">
        <v>0</v>
      </c>
      <c r="BR60" s="234">
        <v>0</v>
      </c>
      <c r="BS60" s="242">
        <v>0</v>
      </c>
      <c r="BT60" s="243">
        <v>-0.44500000000000001</v>
      </c>
      <c r="BU60" s="243">
        <v>0</v>
      </c>
      <c r="BV60" s="243">
        <v>-0.44500000000000001</v>
      </c>
      <c r="BW60" s="244">
        <v>0</v>
      </c>
      <c r="BX60" s="245">
        <v>0</v>
      </c>
      <c r="BY60" s="245">
        <v>0</v>
      </c>
      <c r="BZ60" s="246">
        <f t="shared" si="2"/>
        <v>-27.495118549511854</v>
      </c>
      <c r="CA60" s="247">
        <v>0</v>
      </c>
      <c r="CB60" s="247">
        <v>0</v>
      </c>
      <c r="CC60" s="248">
        <v>0</v>
      </c>
      <c r="CD60" s="249">
        <v>0</v>
      </c>
      <c r="CE60" s="247" t="e">
        <f t="shared" si="3"/>
        <v>#DIV/0!</v>
      </c>
      <c r="CF60" s="242">
        <v>-20431000</v>
      </c>
      <c r="CG60" s="243">
        <v>-0.44500000000000001</v>
      </c>
      <c r="CH60" s="243">
        <v>0</v>
      </c>
      <c r="CI60" s="243">
        <v>-0.44500000000000001</v>
      </c>
    </row>
    <row r="61" spans="1:87" s="60" customFormat="1" ht="22.8" hidden="1" x14ac:dyDescent="0.3">
      <c r="A61" s="233">
        <v>14421</v>
      </c>
      <c r="B61" s="233" t="s">
        <v>106</v>
      </c>
      <c r="C61" s="233" t="s">
        <v>83</v>
      </c>
      <c r="D61" s="233">
        <v>16665</v>
      </c>
      <c r="E61" s="233">
        <v>2025</v>
      </c>
      <c r="F61" s="233" t="s">
        <v>275</v>
      </c>
      <c r="G61" s="233">
        <v>5</v>
      </c>
      <c r="H61" s="233">
        <v>12</v>
      </c>
      <c r="I61" s="233" t="s">
        <v>715</v>
      </c>
      <c r="J61" s="234">
        <v>0</v>
      </c>
      <c r="K61" s="234">
        <v>0</v>
      </c>
      <c r="L61" s="234">
        <v>0</v>
      </c>
      <c r="M61" s="234">
        <v>0</v>
      </c>
      <c r="N61" s="234">
        <v>0</v>
      </c>
      <c r="O61" s="234">
        <v>0</v>
      </c>
      <c r="P61" s="234">
        <v>0</v>
      </c>
      <c r="Q61" s="242">
        <v>0</v>
      </c>
      <c r="R61" s="234">
        <v>0</v>
      </c>
      <c r="S61" s="234">
        <v>0</v>
      </c>
      <c r="T61" s="234">
        <v>0</v>
      </c>
      <c r="U61" s="234">
        <v>0</v>
      </c>
      <c r="V61" s="234">
        <v>0</v>
      </c>
      <c r="W61" s="234">
        <v>0</v>
      </c>
      <c r="X61" s="242">
        <v>0</v>
      </c>
      <c r="Y61" s="234">
        <v>0</v>
      </c>
      <c r="Z61" s="242">
        <v>0</v>
      </c>
      <c r="AA61" s="242">
        <v>0</v>
      </c>
      <c r="AB61" s="234">
        <v>0</v>
      </c>
      <c r="AC61" s="234">
        <v>0</v>
      </c>
      <c r="AD61" s="234">
        <v>0</v>
      </c>
      <c r="AE61" s="234">
        <v>0</v>
      </c>
      <c r="AF61" s="242">
        <v>0</v>
      </c>
      <c r="AG61" s="234">
        <v>0</v>
      </c>
      <c r="AH61" s="234">
        <v>0</v>
      </c>
      <c r="AI61" s="234">
        <v>0</v>
      </c>
      <c r="AJ61" s="242">
        <v>0</v>
      </c>
      <c r="AK61" s="242">
        <v>0</v>
      </c>
      <c r="AL61" s="234">
        <v>0</v>
      </c>
      <c r="AM61" s="234">
        <v>0</v>
      </c>
      <c r="AN61" s="234">
        <v>0</v>
      </c>
      <c r="AO61" s="242">
        <v>0</v>
      </c>
      <c r="AP61" s="242">
        <v>0</v>
      </c>
      <c r="AQ61" s="234">
        <v>333480000</v>
      </c>
      <c r="AR61" s="234">
        <v>0</v>
      </c>
      <c r="AS61" s="234">
        <v>46164000</v>
      </c>
      <c r="AT61" s="234">
        <v>0</v>
      </c>
      <c r="AU61" s="234">
        <v>0</v>
      </c>
      <c r="AV61" s="234">
        <v>0</v>
      </c>
      <c r="AW61" s="242">
        <v>379644000</v>
      </c>
      <c r="AX61" s="234">
        <v>-184000</v>
      </c>
      <c r="AY61" s="234">
        <v>0</v>
      </c>
      <c r="AZ61" s="234">
        <v>71000</v>
      </c>
      <c r="BA61" s="234">
        <v>-2027000</v>
      </c>
      <c r="BB61" s="234">
        <v>0</v>
      </c>
      <c r="BC61" s="242">
        <v>-2140000</v>
      </c>
      <c r="BD61" s="242">
        <v>377504000</v>
      </c>
      <c r="BE61" s="234">
        <v>448842000</v>
      </c>
      <c r="BF61" s="234">
        <v>0</v>
      </c>
      <c r="BG61" s="234">
        <v>3731000</v>
      </c>
      <c r="BH61" s="234">
        <v>186000</v>
      </c>
      <c r="BI61" s="234">
        <v>0</v>
      </c>
      <c r="BJ61" s="234">
        <v>27818000</v>
      </c>
      <c r="BK61" s="234">
        <v>0</v>
      </c>
      <c r="BL61" s="242">
        <v>480577000</v>
      </c>
      <c r="BM61" s="242">
        <v>-103073000</v>
      </c>
      <c r="BN61" s="234">
        <v>107222000</v>
      </c>
      <c r="BO61" s="234">
        <v>0</v>
      </c>
      <c r="BP61" s="234">
        <v>4149000</v>
      </c>
      <c r="BQ61" s="234">
        <v>0</v>
      </c>
      <c r="BR61" s="234">
        <v>0</v>
      </c>
      <c r="BS61" s="242">
        <v>4149000</v>
      </c>
      <c r="BT61" s="243">
        <v>-0.26700000000000002</v>
      </c>
      <c r="BU61" s="243">
        <v>-6.0000000000000001E-3</v>
      </c>
      <c r="BV61" s="243">
        <v>-0.27300000000000002</v>
      </c>
      <c r="BW61" s="244">
        <v>0</v>
      </c>
      <c r="BX61" s="245">
        <v>0</v>
      </c>
      <c r="BY61" s="245">
        <v>0</v>
      </c>
      <c r="BZ61" s="246">
        <f t="shared" si="2"/>
        <v>-26.595282766014474</v>
      </c>
      <c r="CA61" s="247">
        <v>0</v>
      </c>
      <c r="CB61" s="247">
        <v>0</v>
      </c>
      <c r="CC61" s="248">
        <v>0</v>
      </c>
      <c r="CD61" s="249">
        <v>0</v>
      </c>
      <c r="CE61" s="247" t="e">
        <f t="shared" si="3"/>
        <v>#DIV/0!</v>
      </c>
      <c r="CF61" s="242">
        <v>-103073000</v>
      </c>
      <c r="CG61" s="243">
        <v>-0.26700000000000002</v>
      </c>
      <c r="CH61" s="243">
        <v>-6.0000000000000001E-3</v>
      </c>
      <c r="CI61" s="243">
        <v>-0.27300000000000002</v>
      </c>
    </row>
    <row r="62" spans="1:87" s="60" customFormat="1" ht="22.8" x14ac:dyDescent="0.3">
      <c r="A62" s="238">
        <v>6546</v>
      </c>
      <c r="B62" s="238" t="s">
        <v>96</v>
      </c>
      <c r="C62" s="238" t="s">
        <v>77</v>
      </c>
      <c r="D62" s="238">
        <v>16665</v>
      </c>
      <c r="E62" s="238">
        <v>2025</v>
      </c>
      <c r="F62" s="238" t="s">
        <v>275</v>
      </c>
      <c r="G62" s="238">
        <v>5</v>
      </c>
      <c r="H62" s="238">
        <v>12</v>
      </c>
      <c r="I62" s="238" t="s">
        <v>715</v>
      </c>
      <c r="J62" s="239">
        <v>4955000</v>
      </c>
      <c r="K62" s="239">
        <v>402641000</v>
      </c>
      <c r="L62" s="239">
        <v>0</v>
      </c>
      <c r="M62" s="239">
        <v>154482000</v>
      </c>
      <c r="N62" s="239">
        <v>151783000</v>
      </c>
      <c r="O62" s="239">
        <v>0</v>
      </c>
      <c r="P62" s="239">
        <v>23271000</v>
      </c>
      <c r="Q62" s="242">
        <v>737132000</v>
      </c>
      <c r="R62" s="239">
        <v>138752000</v>
      </c>
      <c r="S62" s="239">
        <v>3380000</v>
      </c>
      <c r="T62" s="239">
        <v>0</v>
      </c>
      <c r="U62" s="239">
        <v>0</v>
      </c>
      <c r="V62" s="239">
        <v>1509120000</v>
      </c>
      <c r="W62" s="239">
        <v>1129673000</v>
      </c>
      <c r="X62" s="242">
        <v>379447000</v>
      </c>
      <c r="Y62" s="239">
        <v>32746000</v>
      </c>
      <c r="Z62" s="242">
        <v>554325000</v>
      </c>
      <c r="AA62" s="242">
        <v>1291457000</v>
      </c>
      <c r="AB62" s="239">
        <v>8300000</v>
      </c>
      <c r="AC62" s="239">
        <v>22891000</v>
      </c>
      <c r="AD62" s="239">
        <v>94575000</v>
      </c>
      <c r="AE62" s="239">
        <v>132379000</v>
      </c>
      <c r="AF62" s="242">
        <v>258145000</v>
      </c>
      <c r="AG62" s="239">
        <v>254637000</v>
      </c>
      <c r="AH62" s="239">
        <v>0</v>
      </c>
      <c r="AI62" s="239">
        <v>101935000</v>
      </c>
      <c r="AJ62" s="242">
        <v>356572000</v>
      </c>
      <c r="AK62" s="242">
        <v>614717000</v>
      </c>
      <c r="AL62" s="239">
        <v>536556000</v>
      </c>
      <c r="AM62" s="239">
        <v>48071000</v>
      </c>
      <c r="AN62" s="239">
        <v>92113000</v>
      </c>
      <c r="AO62" s="242">
        <v>676740000</v>
      </c>
      <c r="AP62" s="242">
        <v>1291457000</v>
      </c>
      <c r="AQ62" s="239">
        <v>1264384000</v>
      </c>
      <c r="AR62" s="239">
        <v>0</v>
      </c>
      <c r="AS62" s="239">
        <v>109551000</v>
      </c>
      <c r="AT62" s="239">
        <v>0</v>
      </c>
      <c r="AU62" s="239">
        <v>0</v>
      </c>
      <c r="AV62" s="239">
        <v>0</v>
      </c>
      <c r="AW62" s="242">
        <v>1373935000</v>
      </c>
      <c r="AX62" s="239">
        <v>4456000</v>
      </c>
      <c r="AY62" s="239">
        <v>0</v>
      </c>
      <c r="AZ62" s="239">
        <v>23952000</v>
      </c>
      <c r="BA62" s="239">
        <v>2752000</v>
      </c>
      <c r="BB62" s="239">
        <v>0</v>
      </c>
      <c r="BC62" s="242">
        <v>31160000</v>
      </c>
      <c r="BD62" s="242">
        <v>1405095000</v>
      </c>
      <c r="BE62" s="239">
        <v>556824000</v>
      </c>
      <c r="BF62" s="239">
        <v>0</v>
      </c>
      <c r="BG62" s="239">
        <v>57224000</v>
      </c>
      <c r="BH62" s="239">
        <v>9305000</v>
      </c>
      <c r="BI62" s="239">
        <v>19307000</v>
      </c>
      <c r="BJ62" s="239">
        <v>583720000</v>
      </c>
      <c r="BK62" s="239">
        <v>0</v>
      </c>
      <c r="BL62" s="242">
        <v>1226380000</v>
      </c>
      <c r="BM62" s="242">
        <v>178715000</v>
      </c>
      <c r="BN62" s="239">
        <v>-107222000</v>
      </c>
      <c r="BO62" s="239">
        <v>8490000</v>
      </c>
      <c r="BP62" s="239">
        <v>79983000</v>
      </c>
      <c r="BQ62" s="239">
        <v>14567000</v>
      </c>
      <c r="BR62" s="239">
        <v>0</v>
      </c>
      <c r="BS62" s="242">
        <v>94550000</v>
      </c>
      <c r="BT62" s="243">
        <v>0.105</v>
      </c>
      <c r="BU62" s="243">
        <v>2.1999999999999999E-2</v>
      </c>
      <c r="BV62" s="243">
        <v>0.127</v>
      </c>
      <c r="BW62" s="244">
        <v>2.9</v>
      </c>
      <c r="BX62" s="245">
        <v>45</v>
      </c>
      <c r="BY62" s="245">
        <v>73</v>
      </c>
      <c r="BZ62" s="246">
        <f t="shared" si="2"/>
        <v>3.3772663451559732</v>
      </c>
      <c r="CA62" s="247">
        <v>0.41299999999999998</v>
      </c>
      <c r="CB62" s="247">
        <v>0.52400000000000002</v>
      </c>
      <c r="CC62" s="248">
        <v>20</v>
      </c>
      <c r="CD62" s="249">
        <v>127</v>
      </c>
      <c r="CE62" s="247">
        <f t="shared" si="3"/>
        <v>0.32183929837599673</v>
      </c>
      <c r="CF62" s="242">
        <v>178715000</v>
      </c>
      <c r="CG62" s="243">
        <v>0.105</v>
      </c>
      <c r="CH62" s="243">
        <v>2.1999999999999999E-2</v>
      </c>
      <c r="CI62" s="243">
        <v>0.127</v>
      </c>
    </row>
    <row r="63" spans="1:87" s="60" customFormat="1" ht="22.8" hidden="1" x14ac:dyDescent="0.3">
      <c r="A63" s="238">
        <v>14422</v>
      </c>
      <c r="B63" s="238" t="s">
        <v>107</v>
      </c>
      <c r="C63" s="238" t="s">
        <v>83</v>
      </c>
      <c r="D63" s="238">
        <v>16665</v>
      </c>
      <c r="E63" s="238">
        <v>2025</v>
      </c>
      <c r="F63" s="238" t="s">
        <v>275</v>
      </c>
      <c r="G63" s="238">
        <v>5</v>
      </c>
      <c r="H63" s="238">
        <v>12</v>
      </c>
      <c r="I63" s="238" t="s">
        <v>715</v>
      </c>
      <c r="J63" s="239">
        <v>0</v>
      </c>
      <c r="K63" s="239">
        <v>0</v>
      </c>
      <c r="L63" s="239">
        <v>0</v>
      </c>
      <c r="M63" s="239">
        <v>0</v>
      </c>
      <c r="N63" s="239">
        <v>0</v>
      </c>
      <c r="O63" s="239">
        <v>0</v>
      </c>
      <c r="P63" s="239">
        <v>0</v>
      </c>
      <c r="Q63" s="242">
        <v>0</v>
      </c>
      <c r="R63" s="239">
        <v>0</v>
      </c>
      <c r="S63" s="239">
        <v>0</v>
      </c>
      <c r="T63" s="239">
        <v>0</v>
      </c>
      <c r="U63" s="239">
        <v>0</v>
      </c>
      <c r="V63" s="239">
        <v>0</v>
      </c>
      <c r="W63" s="239">
        <v>0</v>
      </c>
      <c r="X63" s="242">
        <v>0</v>
      </c>
      <c r="Y63" s="239">
        <v>0</v>
      </c>
      <c r="Z63" s="242">
        <v>0</v>
      </c>
      <c r="AA63" s="242">
        <v>0</v>
      </c>
      <c r="AB63" s="239">
        <v>0</v>
      </c>
      <c r="AC63" s="239">
        <v>0</v>
      </c>
      <c r="AD63" s="239">
        <v>0</v>
      </c>
      <c r="AE63" s="239">
        <v>0</v>
      </c>
      <c r="AF63" s="242">
        <v>0</v>
      </c>
      <c r="AG63" s="239">
        <v>0</v>
      </c>
      <c r="AH63" s="239">
        <v>0</v>
      </c>
      <c r="AI63" s="239">
        <v>0</v>
      </c>
      <c r="AJ63" s="242">
        <v>0</v>
      </c>
      <c r="AK63" s="242">
        <v>0</v>
      </c>
      <c r="AL63" s="239">
        <v>0</v>
      </c>
      <c r="AM63" s="239">
        <v>0</v>
      </c>
      <c r="AN63" s="239">
        <v>0</v>
      </c>
      <c r="AO63" s="242">
        <v>0</v>
      </c>
      <c r="AP63" s="242">
        <v>0</v>
      </c>
      <c r="AQ63" s="239">
        <v>67540000</v>
      </c>
      <c r="AR63" s="239">
        <v>0</v>
      </c>
      <c r="AS63" s="239">
        <v>4541000</v>
      </c>
      <c r="AT63" s="239">
        <v>0</v>
      </c>
      <c r="AU63" s="239">
        <v>0</v>
      </c>
      <c r="AV63" s="239">
        <v>0</v>
      </c>
      <c r="AW63" s="242">
        <v>72081000</v>
      </c>
      <c r="AX63" s="239">
        <v>0</v>
      </c>
      <c r="AY63" s="239">
        <v>0</v>
      </c>
      <c r="AZ63" s="239">
        <v>0</v>
      </c>
      <c r="BA63" s="239">
        <v>0</v>
      </c>
      <c r="BB63" s="239">
        <v>0</v>
      </c>
      <c r="BC63" s="242">
        <v>0</v>
      </c>
      <c r="BD63" s="242">
        <v>72081000</v>
      </c>
      <c r="BE63" s="239">
        <v>69531000</v>
      </c>
      <c r="BF63" s="239">
        <v>0</v>
      </c>
      <c r="BG63" s="239">
        <v>1393000</v>
      </c>
      <c r="BH63" s="239">
        <v>0</v>
      </c>
      <c r="BI63" s="239">
        <v>0</v>
      </c>
      <c r="BJ63" s="239">
        <v>28245000</v>
      </c>
      <c r="BK63" s="239">
        <v>0</v>
      </c>
      <c r="BL63" s="242">
        <v>99169000</v>
      </c>
      <c r="BM63" s="242">
        <v>-27088000</v>
      </c>
      <c r="BN63" s="239">
        <v>0</v>
      </c>
      <c r="BO63" s="239">
        <v>0</v>
      </c>
      <c r="BP63" s="239">
        <v>-27088000</v>
      </c>
      <c r="BQ63" s="239">
        <v>0</v>
      </c>
      <c r="BR63" s="239">
        <v>0</v>
      </c>
      <c r="BS63" s="242">
        <v>-27088000</v>
      </c>
      <c r="BT63" s="243">
        <v>-0.376</v>
      </c>
      <c r="BU63" s="243">
        <v>0</v>
      </c>
      <c r="BV63" s="243">
        <v>-0.376</v>
      </c>
      <c r="BW63" s="244">
        <v>0</v>
      </c>
      <c r="BX63" s="245">
        <v>0</v>
      </c>
      <c r="BY63" s="245">
        <v>0</v>
      </c>
      <c r="BZ63" s="246">
        <f t="shared" si="2"/>
        <v>-18.445800430725054</v>
      </c>
      <c r="CA63" s="247">
        <v>0</v>
      </c>
      <c r="CB63" s="247">
        <v>0</v>
      </c>
      <c r="CC63" s="248">
        <v>0</v>
      </c>
      <c r="CD63" s="249">
        <v>0</v>
      </c>
      <c r="CE63" s="247" t="e">
        <f t="shared" si="3"/>
        <v>#DIV/0!</v>
      </c>
      <c r="CF63" s="242">
        <v>-27088000</v>
      </c>
      <c r="CG63" s="243">
        <v>-0.376</v>
      </c>
      <c r="CH63" s="243">
        <v>0</v>
      </c>
      <c r="CI63" s="243">
        <v>-0.376</v>
      </c>
    </row>
    <row r="64" spans="1:87" s="60" customFormat="1" ht="22.8" x14ac:dyDescent="0.3">
      <c r="A64" s="238">
        <v>83</v>
      </c>
      <c r="B64" s="238" t="s">
        <v>139</v>
      </c>
      <c r="C64" s="238" t="s">
        <v>77</v>
      </c>
      <c r="D64" s="238">
        <v>13156</v>
      </c>
      <c r="E64" s="238">
        <v>2025</v>
      </c>
      <c r="F64" s="238" t="s">
        <v>275</v>
      </c>
      <c r="G64" s="238">
        <v>5</v>
      </c>
      <c r="H64" s="238">
        <v>12</v>
      </c>
      <c r="I64" s="238" t="s">
        <v>715</v>
      </c>
      <c r="J64" s="239">
        <v>31073000</v>
      </c>
      <c r="K64" s="239">
        <v>0</v>
      </c>
      <c r="L64" s="239">
        <v>0</v>
      </c>
      <c r="M64" s="239">
        <v>39034000</v>
      </c>
      <c r="N64" s="239">
        <v>21350000</v>
      </c>
      <c r="O64" s="239">
        <v>18667000</v>
      </c>
      <c r="P64" s="239">
        <v>46573000</v>
      </c>
      <c r="Q64" s="242">
        <v>156697000</v>
      </c>
      <c r="R64" s="239">
        <v>17342000</v>
      </c>
      <c r="S64" s="239">
        <v>0</v>
      </c>
      <c r="T64" s="239">
        <v>0</v>
      </c>
      <c r="U64" s="239">
        <v>23413000</v>
      </c>
      <c r="V64" s="239">
        <v>276006000</v>
      </c>
      <c r="W64" s="239">
        <v>204419000</v>
      </c>
      <c r="X64" s="242">
        <v>71587000</v>
      </c>
      <c r="Y64" s="239">
        <v>40214000</v>
      </c>
      <c r="Z64" s="242">
        <v>152556000</v>
      </c>
      <c r="AA64" s="242">
        <v>309253000</v>
      </c>
      <c r="AB64" s="239">
        <v>1641000</v>
      </c>
      <c r="AC64" s="239">
        <v>7505000</v>
      </c>
      <c r="AD64" s="239">
        <v>58614000</v>
      </c>
      <c r="AE64" s="239">
        <v>104710000</v>
      </c>
      <c r="AF64" s="242">
        <v>172470000</v>
      </c>
      <c r="AG64" s="239">
        <v>65508000</v>
      </c>
      <c r="AH64" s="239">
        <v>0</v>
      </c>
      <c r="AI64" s="239">
        <v>54387000</v>
      </c>
      <c r="AJ64" s="242">
        <v>119895000</v>
      </c>
      <c r="AK64" s="242">
        <v>292365000</v>
      </c>
      <c r="AL64" s="239">
        <v>15788000</v>
      </c>
      <c r="AM64" s="239">
        <v>0</v>
      </c>
      <c r="AN64" s="239">
        <v>1100000</v>
      </c>
      <c r="AO64" s="242">
        <v>16888000</v>
      </c>
      <c r="AP64" s="242">
        <v>309253000</v>
      </c>
      <c r="AQ64" s="239">
        <v>311198000</v>
      </c>
      <c r="AR64" s="239">
        <v>0</v>
      </c>
      <c r="AS64" s="239">
        <v>54918000</v>
      </c>
      <c r="AT64" s="239">
        <v>0</v>
      </c>
      <c r="AU64" s="239">
        <v>0</v>
      </c>
      <c r="AV64" s="239">
        <v>0</v>
      </c>
      <c r="AW64" s="242">
        <v>366116000</v>
      </c>
      <c r="AX64" s="239">
        <v>635000</v>
      </c>
      <c r="AY64" s="239">
        <v>0</v>
      </c>
      <c r="AZ64" s="239">
        <v>245000</v>
      </c>
      <c r="BA64" s="239">
        <v>15000</v>
      </c>
      <c r="BB64" s="239">
        <v>4688000</v>
      </c>
      <c r="BC64" s="242">
        <v>5583000</v>
      </c>
      <c r="BD64" s="242">
        <v>371699000</v>
      </c>
      <c r="BE64" s="239">
        <v>164971000</v>
      </c>
      <c r="BF64" s="239">
        <v>0</v>
      </c>
      <c r="BG64" s="239">
        <v>12599000</v>
      </c>
      <c r="BH64" s="239">
        <v>3645000</v>
      </c>
      <c r="BI64" s="239">
        <v>12821000</v>
      </c>
      <c r="BJ64" s="239">
        <v>171297000</v>
      </c>
      <c r="BK64" s="239">
        <v>0</v>
      </c>
      <c r="BL64" s="242">
        <v>365333000</v>
      </c>
      <c r="BM64" s="242">
        <v>6366000</v>
      </c>
      <c r="BN64" s="239">
        <v>0</v>
      </c>
      <c r="BO64" s="239">
        <v>-18148000</v>
      </c>
      <c r="BP64" s="239">
        <v>-11782000</v>
      </c>
      <c r="BQ64" s="239">
        <v>0</v>
      </c>
      <c r="BR64" s="239">
        <v>0</v>
      </c>
      <c r="BS64" s="242">
        <v>-11782000</v>
      </c>
      <c r="BT64" s="243">
        <v>2E-3</v>
      </c>
      <c r="BU64" s="243">
        <v>1.4999999999999999E-2</v>
      </c>
      <c r="BV64" s="243">
        <v>1.7000000000000001E-2</v>
      </c>
      <c r="BW64" s="244">
        <v>0.9</v>
      </c>
      <c r="BX64" s="245">
        <v>46</v>
      </c>
      <c r="BY64" s="245">
        <v>171</v>
      </c>
      <c r="BZ64" s="246">
        <f t="shared" si="2"/>
        <v>1.5705758426966292</v>
      </c>
      <c r="CA64" s="247">
        <v>7.9000000000000001E-2</v>
      </c>
      <c r="CB64" s="247">
        <v>5.5E-2</v>
      </c>
      <c r="CC64" s="248">
        <v>16</v>
      </c>
      <c r="CD64" s="249">
        <v>32</v>
      </c>
      <c r="CE64" s="247">
        <f t="shared" si="3"/>
        <v>0.80579610312930527</v>
      </c>
      <c r="CF64" s="242">
        <v>6366000</v>
      </c>
      <c r="CG64" s="243">
        <v>2E-3</v>
      </c>
      <c r="CH64" s="243">
        <v>1.4999999999999999E-2</v>
      </c>
      <c r="CI64" s="243">
        <v>1.7000000000000001E-2</v>
      </c>
    </row>
    <row r="65" spans="1:87" s="60" customFormat="1" ht="22.8" hidden="1" x14ac:dyDescent="0.3">
      <c r="A65" s="238">
        <v>13156</v>
      </c>
      <c r="B65" s="238" t="s">
        <v>138</v>
      </c>
      <c r="C65" s="238" t="s">
        <v>75</v>
      </c>
      <c r="D65" s="238">
        <v>13156</v>
      </c>
      <c r="E65" s="238">
        <v>2025</v>
      </c>
      <c r="F65" s="238" t="s">
        <v>275</v>
      </c>
      <c r="G65" s="238">
        <v>5</v>
      </c>
      <c r="H65" s="238">
        <v>12</v>
      </c>
      <c r="I65" s="238" t="s">
        <v>715</v>
      </c>
      <c r="J65" s="239">
        <v>43295000</v>
      </c>
      <c r="K65" s="239">
        <v>28700000</v>
      </c>
      <c r="L65" s="239">
        <v>208000</v>
      </c>
      <c r="M65" s="239">
        <v>66905000</v>
      </c>
      <c r="N65" s="239">
        <v>0</v>
      </c>
      <c r="O65" s="239">
        <v>0</v>
      </c>
      <c r="P65" s="239">
        <v>54808000</v>
      </c>
      <c r="Q65" s="242">
        <v>193916000</v>
      </c>
      <c r="R65" s="239">
        <v>21340000</v>
      </c>
      <c r="S65" s="239">
        <v>0</v>
      </c>
      <c r="T65" s="239">
        <v>0</v>
      </c>
      <c r="U65" s="239">
        <v>0</v>
      </c>
      <c r="V65" s="239">
        <v>402920000</v>
      </c>
      <c r="W65" s="239">
        <v>220089000</v>
      </c>
      <c r="X65" s="242">
        <v>182831000</v>
      </c>
      <c r="Y65" s="239">
        <v>41708000</v>
      </c>
      <c r="Z65" s="242">
        <v>245879000</v>
      </c>
      <c r="AA65" s="242">
        <v>439795000</v>
      </c>
      <c r="AB65" s="239">
        <v>2405000</v>
      </c>
      <c r="AC65" s="239">
        <v>10065000</v>
      </c>
      <c r="AD65" s="239">
        <v>0</v>
      </c>
      <c r="AE65" s="239">
        <v>166012000</v>
      </c>
      <c r="AF65" s="242">
        <v>178482000</v>
      </c>
      <c r="AG65" s="239">
        <v>93732000</v>
      </c>
      <c r="AH65" s="239">
        <v>0</v>
      </c>
      <c r="AI65" s="239">
        <v>55166000</v>
      </c>
      <c r="AJ65" s="242">
        <v>148898000</v>
      </c>
      <c r="AK65" s="242">
        <v>327380000</v>
      </c>
      <c r="AL65" s="239">
        <v>107109000</v>
      </c>
      <c r="AM65" s="239">
        <v>5306000</v>
      </c>
      <c r="AN65" s="239">
        <v>0</v>
      </c>
      <c r="AO65" s="242">
        <v>112415000</v>
      </c>
      <c r="AP65" s="242">
        <v>439795000</v>
      </c>
      <c r="AQ65" s="239">
        <v>501122000</v>
      </c>
      <c r="AR65" s="239">
        <v>0</v>
      </c>
      <c r="AS65" s="239">
        <v>185185000</v>
      </c>
      <c r="AT65" s="239">
        <v>0</v>
      </c>
      <c r="AU65" s="239">
        <v>0</v>
      </c>
      <c r="AV65" s="239">
        <v>194000</v>
      </c>
      <c r="AW65" s="242">
        <v>686501000</v>
      </c>
      <c r="AX65" s="239">
        <v>1296000</v>
      </c>
      <c r="AY65" s="239">
        <v>0</v>
      </c>
      <c r="AZ65" s="239">
        <v>2329000</v>
      </c>
      <c r="BA65" s="239">
        <v>0</v>
      </c>
      <c r="BB65" s="239">
        <v>49570000</v>
      </c>
      <c r="BC65" s="242">
        <v>53195000</v>
      </c>
      <c r="BD65" s="242">
        <v>739696000</v>
      </c>
      <c r="BE65" s="239">
        <v>288305000</v>
      </c>
      <c r="BF65" s="239">
        <v>0</v>
      </c>
      <c r="BG65" s="239">
        <v>19920000</v>
      </c>
      <c r="BH65" s="239">
        <v>4984000</v>
      </c>
      <c r="BI65" s="239">
        <v>12821000</v>
      </c>
      <c r="BJ65" s="239">
        <v>328546000</v>
      </c>
      <c r="BK65" s="239">
        <v>0</v>
      </c>
      <c r="BL65" s="242">
        <v>654576000</v>
      </c>
      <c r="BM65" s="242">
        <v>85120000</v>
      </c>
      <c r="BN65" s="239">
        <v>-889000</v>
      </c>
      <c r="BO65" s="239">
        <v>2912000</v>
      </c>
      <c r="BP65" s="239">
        <v>87143000</v>
      </c>
      <c r="BQ65" s="239">
        <v>0</v>
      </c>
      <c r="BR65" s="239">
        <v>0</v>
      </c>
      <c r="BS65" s="242">
        <v>87143000</v>
      </c>
      <c r="BT65" s="243">
        <v>4.2999999999999997E-2</v>
      </c>
      <c r="BU65" s="243">
        <v>7.1999999999999995E-2</v>
      </c>
      <c r="BV65" s="243">
        <v>0.115</v>
      </c>
      <c r="BW65" s="244">
        <v>1.1000000000000001</v>
      </c>
      <c r="BX65" s="245">
        <v>49</v>
      </c>
      <c r="BY65" s="245">
        <v>97</v>
      </c>
      <c r="BZ65" s="246">
        <f t="shared" si="2"/>
        <v>4.8239641657334831</v>
      </c>
      <c r="CA65" s="247">
        <v>0.377</v>
      </c>
      <c r="CB65" s="247">
        <v>0.25600000000000001</v>
      </c>
      <c r="CC65" s="248">
        <v>11</v>
      </c>
      <c r="CD65" s="249">
        <v>41</v>
      </c>
      <c r="CE65" s="247">
        <f t="shared" si="3"/>
        <v>0.46669753685751414</v>
      </c>
      <c r="CF65" s="242">
        <v>85120000</v>
      </c>
      <c r="CG65" s="243">
        <v>4.2999999999999997E-2</v>
      </c>
      <c r="CH65" s="243">
        <v>7.1999999999999995E-2</v>
      </c>
      <c r="CI65" s="243">
        <v>0.115</v>
      </c>
    </row>
    <row r="66" spans="1:87" s="60" customFormat="1" ht="22.8" x14ac:dyDescent="0.3">
      <c r="A66" s="238">
        <v>85</v>
      </c>
      <c r="B66" s="238" t="s">
        <v>191</v>
      </c>
      <c r="C66" s="238" t="s">
        <v>77</v>
      </c>
      <c r="D66" s="238">
        <v>12775</v>
      </c>
      <c r="E66" s="238">
        <v>2025</v>
      </c>
      <c r="F66" s="238" t="s">
        <v>275</v>
      </c>
      <c r="G66" s="238">
        <v>5</v>
      </c>
      <c r="H66" s="238">
        <v>12</v>
      </c>
      <c r="I66" s="238" t="s">
        <v>715</v>
      </c>
      <c r="J66" s="239">
        <v>4881000</v>
      </c>
      <c r="K66" s="239">
        <v>0</v>
      </c>
      <c r="L66" s="239">
        <v>1525000</v>
      </c>
      <c r="M66" s="239">
        <v>75203000</v>
      </c>
      <c r="N66" s="239">
        <v>24143000</v>
      </c>
      <c r="O66" s="239">
        <v>17957000</v>
      </c>
      <c r="P66" s="239">
        <v>9857000</v>
      </c>
      <c r="Q66" s="242">
        <v>133566000</v>
      </c>
      <c r="R66" s="239">
        <v>11327000</v>
      </c>
      <c r="S66" s="239">
        <v>0</v>
      </c>
      <c r="T66" s="239">
        <v>0</v>
      </c>
      <c r="U66" s="239">
        <v>16944000</v>
      </c>
      <c r="V66" s="239">
        <v>608455000</v>
      </c>
      <c r="W66" s="239">
        <v>408793000</v>
      </c>
      <c r="X66" s="242">
        <v>199662000</v>
      </c>
      <c r="Y66" s="239">
        <v>11183000</v>
      </c>
      <c r="Z66" s="242">
        <v>239116000</v>
      </c>
      <c r="AA66" s="242">
        <v>372682000</v>
      </c>
      <c r="AB66" s="239">
        <v>1742000</v>
      </c>
      <c r="AC66" s="239">
        <v>8533000</v>
      </c>
      <c r="AD66" s="239">
        <v>803000</v>
      </c>
      <c r="AE66" s="239">
        <v>98688000</v>
      </c>
      <c r="AF66" s="242">
        <v>109766000</v>
      </c>
      <c r="AG66" s="239">
        <v>72506000</v>
      </c>
      <c r="AH66" s="239">
        <v>0</v>
      </c>
      <c r="AI66" s="239">
        <v>28787000</v>
      </c>
      <c r="AJ66" s="242">
        <v>101293000</v>
      </c>
      <c r="AK66" s="242">
        <v>211059000</v>
      </c>
      <c r="AL66" s="239">
        <v>151712000</v>
      </c>
      <c r="AM66" s="239">
        <v>4729000</v>
      </c>
      <c r="AN66" s="239">
        <v>5182000</v>
      </c>
      <c r="AO66" s="242">
        <v>161623000</v>
      </c>
      <c r="AP66" s="242">
        <v>372682000</v>
      </c>
      <c r="AQ66" s="239">
        <v>656637000</v>
      </c>
      <c r="AR66" s="239">
        <v>0</v>
      </c>
      <c r="AS66" s="239">
        <v>38851000</v>
      </c>
      <c r="AT66" s="239">
        <v>0</v>
      </c>
      <c r="AU66" s="239">
        <v>0</v>
      </c>
      <c r="AV66" s="239">
        <v>1545000</v>
      </c>
      <c r="AW66" s="242">
        <v>697033000</v>
      </c>
      <c r="AX66" s="239">
        <v>1597000</v>
      </c>
      <c r="AY66" s="239">
        <v>-144000</v>
      </c>
      <c r="AZ66" s="239">
        <v>-472000</v>
      </c>
      <c r="BA66" s="239">
        <v>-1063000</v>
      </c>
      <c r="BB66" s="239">
        <v>0</v>
      </c>
      <c r="BC66" s="242">
        <v>-82000</v>
      </c>
      <c r="BD66" s="242">
        <v>696951000</v>
      </c>
      <c r="BE66" s="239">
        <v>297340000</v>
      </c>
      <c r="BF66" s="239">
        <v>0</v>
      </c>
      <c r="BG66" s="239">
        <v>23258000</v>
      </c>
      <c r="BH66" s="239">
        <v>11947000</v>
      </c>
      <c r="BI66" s="239">
        <v>53491000</v>
      </c>
      <c r="BJ66" s="239">
        <v>271791000</v>
      </c>
      <c r="BK66" s="239">
        <v>0</v>
      </c>
      <c r="BL66" s="242">
        <v>657827000</v>
      </c>
      <c r="BM66" s="242">
        <v>39124000</v>
      </c>
      <c r="BN66" s="239">
        <v>-57077000</v>
      </c>
      <c r="BO66" s="239">
        <v>0</v>
      </c>
      <c r="BP66" s="239">
        <v>-17953000</v>
      </c>
      <c r="BQ66" s="239">
        <v>1474000</v>
      </c>
      <c r="BR66" s="239">
        <v>0</v>
      </c>
      <c r="BS66" s="242">
        <v>-16479000</v>
      </c>
      <c r="BT66" s="243">
        <v>5.6000000000000001E-2</v>
      </c>
      <c r="BU66" s="243">
        <v>0</v>
      </c>
      <c r="BV66" s="243">
        <v>5.6000000000000001E-2</v>
      </c>
      <c r="BW66" s="244">
        <v>1.2</v>
      </c>
      <c r="BX66" s="245">
        <v>42</v>
      </c>
      <c r="BY66" s="245">
        <v>58</v>
      </c>
      <c r="BZ66" s="246">
        <f t="shared" ref="BZ66:BZ97" si="4">(BH66+BM66+BG66-AZ66)/(BG66+AB66)</f>
        <v>2.9920399999999998</v>
      </c>
      <c r="CA66" s="247">
        <v>0.34200000000000003</v>
      </c>
      <c r="CB66" s="247">
        <v>0.434</v>
      </c>
      <c r="CC66" s="248">
        <v>18</v>
      </c>
      <c r="CD66" s="249">
        <v>3</v>
      </c>
      <c r="CE66" s="247">
        <f t="shared" ref="CE66:CE97" si="5">AG66/(AG66+AL66)</f>
        <v>0.32337278898215133</v>
      </c>
      <c r="CF66" s="242">
        <v>39124000</v>
      </c>
      <c r="CG66" s="243">
        <v>5.6000000000000001E-2</v>
      </c>
      <c r="CH66" s="243">
        <v>0</v>
      </c>
      <c r="CI66" s="243">
        <v>5.6000000000000001E-2</v>
      </c>
    </row>
    <row r="67" spans="1:87" s="60" customFormat="1" ht="22.8" x14ac:dyDescent="0.3">
      <c r="A67" s="233">
        <v>133</v>
      </c>
      <c r="B67" s="233" t="s">
        <v>200</v>
      </c>
      <c r="C67" s="233" t="s">
        <v>77</v>
      </c>
      <c r="D67" s="233">
        <v>6755</v>
      </c>
      <c r="E67" s="233">
        <v>2025</v>
      </c>
      <c r="F67" s="233" t="s">
        <v>275</v>
      </c>
      <c r="G67" s="233">
        <v>5</v>
      </c>
      <c r="H67" s="233">
        <v>12</v>
      </c>
      <c r="I67" s="233" t="s">
        <v>715</v>
      </c>
      <c r="J67" s="234">
        <v>1926000</v>
      </c>
      <c r="K67" s="234">
        <v>456000</v>
      </c>
      <c r="L67" s="234">
        <v>0</v>
      </c>
      <c r="M67" s="234">
        <v>11739000</v>
      </c>
      <c r="N67" s="234">
        <v>264751000</v>
      </c>
      <c r="O67" s="234">
        <v>2385000</v>
      </c>
      <c r="P67" s="234">
        <v>1977000</v>
      </c>
      <c r="Q67" s="242">
        <v>283234000</v>
      </c>
      <c r="R67" s="234">
        <v>6554000</v>
      </c>
      <c r="S67" s="234">
        <v>0</v>
      </c>
      <c r="T67" s="234">
        <v>0</v>
      </c>
      <c r="U67" s="234">
        <v>0</v>
      </c>
      <c r="V67" s="234">
        <v>79084000</v>
      </c>
      <c r="W67" s="234">
        <v>45109000</v>
      </c>
      <c r="X67" s="242">
        <v>33975000</v>
      </c>
      <c r="Y67" s="234">
        <v>28783000</v>
      </c>
      <c r="Z67" s="242">
        <v>69312000</v>
      </c>
      <c r="AA67" s="242">
        <v>352546000</v>
      </c>
      <c r="AB67" s="234">
        <v>0</v>
      </c>
      <c r="AC67" s="234">
        <v>305000</v>
      </c>
      <c r="AD67" s="234">
        <v>260758000</v>
      </c>
      <c r="AE67" s="234">
        <v>12184000</v>
      </c>
      <c r="AF67" s="242">
        <v>273247000</v>
      </c>
      <c r="AG67" s="234">
        <v>0</v>
      </c>
      <c r="AH67" s="234">
        <v>10456000</v>
      </c>
      <c r="AI67" s="234">
        <v>1490000</v>
      </c>
      <c r="AJ67" s="242">
        <v>11946000</v>
      </c>
      <c r="AK67" s="242">
        <v>285193000</v>
      </c>
      <c r="AL67" s="234">
        <v>61330000</v>
      </c>
      <c r="AM67" s="234">
        <v>3888000</v>
      </c>
      <c r="AN67" s="234">
        <v>2136000</v>
      </c>
      <c r="AO67" s="242">
        <v>67354000</v>
      </c>
      <c r="AP67" s="242">
        <v>352547000</v>
      </c>
      <c r="AQ67" s="234">
        <v>118567000</v>
      </c>
      <c r="AR67" s="234">
        <v>0</v>
      </c>
      <c r="AS67" s="234">
        <v>3787000</v>
      </c>
      <c r="AT67" s="234">
        <v>0</v>
      </c>
      <c r="AU67" s="234">
        <v>0</v>
      </c>
      <c r="AV67" s="234">
        <v>310000</v>
      </c>
      <c r="AW67" s="242">
        <v>122664000</v>
      </c>
      <c r="AX67" s="234">
        <v>541000</v>
      </c>
      <c r="AY67" s="234">
        <v>72000</v>
      </c>
      <c r="AZ67" s="234">
        <v>0</v>
      </c>
      <c r="BA67" s="234">
        <v>2548000</v>
      </c>
      <c r="BB67" s="234">
        <v>0</v>
      </c>
      <c r="BC67" s="242">
        <v>3161000</v>
      </c>
      <c r="BD67" s="242">
        <v>125825000</v>
      </c>
      <c r="BE67" s="234">
        <v>49743000</v>
      </c>
      <c r="BF67" s="234">
        <v>0</v>
      </c>
      <c r="BG67" s="234">
        <v>3786000</v>
      </c>
      <c r="BH67" s="234">
        <v>740000</v>
      </c>
      <c r="BI67" s="234">
        <v>2519000</v>
      </c>
      <c r="BJ67" s="234">
        <v>63176000</v>
      </c>
      <c r="BK67" s="234">
        <v>0</v>
      </c>
      <c r="BL67" s="242">
        <v>119964000</v>
      </c>
      <c r="BM67" s="242">
        <v>5861000</v>
      </c>
      <c r="BN67" s="234">
        <v>-1016000</v>
      </c>
      <c r="BO67" s="234">
        <v>105000</v>
      </c>
      <c r="BP67" s="234">
        <v>4950000</v>
      </c>
      <c r="BQ67" s="234">
        <v>0</v>
      </c>
      <c r="BR67" s="234">
        <v>0</v>
      </c>
      <c r="BS67" s="242">
        <v>4950000</v>
      </c>
      <c r="BT67" s="243">
        <v>2.1000000000000001E-2</v>
      </c>
      <c r="BU67" s="243">
        <v>2.5000000000000001E-2</v>
      </c>
      <c r="BV67" s="243">
        <v>4.7E-2</v>
      </c>
      <c r="BW67" s="244">
        <v>1</v>
      </c>
      <c r="BX67" s="245">
        <v>36</v>
      </c>
      <c r="BY67" s="245">
        <v>858</v>
      </c>
      <c r="BZ67" s="246">
        <f t="shared" si="4"/>
        <v>2.7435287902799788</v>
      </c>
      <c r="CA67" s="247">
        <v>3.5000000000000003E-2</v>
      </c>
      <c r="CB67" s="247">
        <v>0.191</v>
      </c>
      <c r="CC67" s="248">
        <v>12</v>
      </c>
      <c r="CD67" s="249">
        <v>7</v>
      </c>
      <c r="CE67" s="247">
        <f t="shared" si="5"/>
        <v>0</v>
      </c>
      <c r="CF67" s="242">
        <v>5861000</v>
      </c>
      <c r="CG67" s="243">
        <v>2.1000000000000001E-2</v>
      </c>
      <c r="CH67" s="243">
        <v>2.5000000000000001E-2</v>
      </c>
      <c r="CI67" s="243">
        <v>4.7E-2</v>
      </c>
    </row>
    <row r="68" spans="1:87" s="60" customFormat="1" ht="22.8" x14ac:dyDescent="0.3">
      <c r="A68" s="238">
        <v>133</v>
      </c>
      <c r="B68" s="238" t="s">
        <v>200</v>
      </c>
      <c r="C68" s="238" t="s">
        <v>77</v>
      </c>
      <c r="D68" s="238">
        <v>6755</v>
      </c>
      <c r="E68" s="238">
        <v>2025</v>
      </c>
      <c r="F68" s="238" t="s">
        <v>275</v>
      </c>
      <c r="G68" s="238">
        <v>5</v>
      </c>
      <c r="H68" s="238">
        <v>12</v>
      </c>
      <c r="I68" s="238" t="s">
        <v>715</v>
      </c>
      <c r="J68" s="239">
        <v>1926000</v>
      </c>
      <c r="K68" s="239">
        <v>456000</v>
      </c>
      <c r="L68" s="239">
        <v>0</v>
      </c>
      <c r="M68" s="239">
        <v>11739000</v>
      </c>
      <c r="N68" s="239">
        <v>264751000</v>
      </c>
      <c r="O68" s="239">
        <v>2385000</v>
      </c>
      <c r="P68" s="239">
        <v>1977000</v>
      </c>
      <c r="Q68" s="242">
        <v>283234000</v>
      </c>
      <c r="R68" s="239">
        <v>6554000</v>
      </c>
      <c r="S68" s="239">
        <v>0</v>
      </c>
      <c r="T68" s="239">
        <v>0</v>
      </c>
      <c r="U68" s="239">
        <v>0</v>
      </c>
      <c r="V68" s="239">
        <v>79084000</v>
      </c>
      <c r="W68" s="239">
        <v>45109000</v>
      </c>
      <c r="X68" s="242">
        <v>33975000</v>
      </c>
      <c r="Y68" s="239">
        <v>28783000</v>
      </c>
      <c r="Z68" s="242">
        <v>69312000</v>
      </c>
      <c r="AA68" s="242">
        <v>352546000</v>
      </c>
      <c r="AB68" s="239">
        <v>0</v>
      </c>
      <c r="AC68" s="239">
        <v>305000</v>
      </c>
      <c r="AD68" s="239">
        <v>260758000</v>
      </c>
      <c r="AE68" s="239">
        <v>12184000</v>
      </c>
      <c r="AF68" s="242">
        <v>273247000</v>
      </c>
      <c r="AG68" s="239">
        <v>0</v>
      </c>
      <c r="AH68" s="239">
        <v>10456000</v>
      </c>
      <c r="AI68" s="239">
        <v>1490000</v>
      </c>
      <c r="AJ68" s="242">
        <v>11946000</v>
      </c>
      <c r="AK68" s="242">
        <v>285193000</v>
      </c>
      <c r="AL68" s="239">
        <v>61330000</v>
      </c>
      <c r="AM68" s="239">
        <v>3888000</v>
      </c>
      <c r="AN68" s="239">
        <v>2136000</v>
      </c>
      <c r="AO68" s="242">
        <v>67354000</v>
      </c>
      <c r="AP68" s="242">
        <v>352547000</v>
      </c>
      <c r="AQ68" s="239">
        <v>118567000</v>
      </c>
      <c r="AR68" s="239">
        <v>0</v>
      </c>
      <c r="AS68" s="239">
        <v>3787000</v>
      </c>
      <c r="AT68" s="239">
        <v>0</v>
      </c>
      <c r="AU68" s="239">
        <v>0</v>
      </c>
      <c r="AV68" s="239">
        <v>310000</v>
      </c>
      <c r="AW68" s="242">
        <v>122664000</v>
      </c>
      <c r="AX68" s="239">
        <v>541000</v>
      </c>
      <c r="AY68" s="239">
        <v>72000</v>
      </c>
      <c r="AZ68" s="239">
        <v>0</v>
      </c>
      <c r="BA68" s="239">
        <v>2548000</v>
      </c>
      <c r="BB68" s="239">
        <v>0</v>
      </c>
      <c r="BC68" s="242">
        <v>3161000</v>
      </c>
      <c r="BD68" s="242">
        <v>125825000</v>
      </c>
      <c r="BE68" s="239">
        <v>49743000</v>
      </c>
      <c r="BF68" s="239">
        <v>0</v>
      </c>
      <c r="BG68" s="239">
        <v>3786000</v>
      </c>
      <c r="BH68" s="239">
        <v>740000</v>
      </c>
      <c r="BI68" s="239">
        <v>2519000</v>
      </c>
      <c r="BJ68" s="239">
        <v>63176000</v>
      </c>
      <c r="BK68" s="239">
        <v>0</v>
      </c>
      <c r="BL68" s="242">
        <v>119964000</v>
      </c>
      <c r="BM68" s="242">
        <v>5861000</v>
      </c>
      <c r="BN68" s="239">
        <v>-1016000</v>
      </c>
      <c r="BO68" s="239">
        <v>105000</v>
      </c>
      <c r="BP68" s="239">
        <v>4950000</v>
      </c>
      <c r="BQ68" s="239">
        <v>0</v>
      </c>
      <c r="BR68" s="239">
        <v>0</v>
      </c>
      <c r="BS68" s="242">
        <v>4950000</v>
      </c>
      <c r="BT68" s="247">
        <v>2.1000000000000001E-2</v>
      </c>
      <c r="BU68" s="247">
        <v>2.5000000000000001E-2</v>
      </c>
      <c r="BV68" s="247">
        <v>4.7E-2</v>
      </c>
      <c r="BW68" s="244">
        <v>1</v>
      </c>
      <c r="BX68" s="245">
        <v>36</v>
      </c>
      <c r="BY68" s="245">
        <v>858</v>
      </c>
      <c r="BZ68" s="246">
        <f t="shared" si="4"/>
        <v>2.7435287902799788</v>
      </c>
      <c r="CA68" s="247">
        <v>3.5000000000000003E-2</v>
      </c>
      <c r="CB68" s="247">
        <v>0.191</v>
      </c>
      <c r="CC68" s="248">
        <v>12</v>
      </c>
      <c r="CD68" s="248"/>
      <c r="CE68" s="247">
        <f t="shared" si="5"/>
        <v>0</v>
      </c>
      <c r="CF68" s="242">
        <v>5861000</v>
      </c>
      <c r="CG68" s="247">
        <v>2.1000000000000001E-2</v>
      </c>
      <c r="CH68" s="247">
        <v>2.5000000000000001E-2</v>
      </c>
      <c r="CI68" s="247">
        <v>4.7E-2</v>
      </c>
    </row>
    <row r="69" spans="1:87" s="60" customFormat="1" ht="22.8" x14ac:dyDescent="0.3">
      <c r="A69" s="233">
        <v>88</v>
      </c>
      <c r="B69" s="233" t="s">
        <v>145</v>
      </c>
      <c r="C69" s="233" t="s">
        <v>77</v>
      </c>
      <c r="D69" s="233">
        <v>3791</v>
      </c>
      <c r="E69" s="233">
        <v>2025</v>
      </c>
      <c r="F69" s="233" t="s">
        <v>275</v>
      </c>
      <c r="G69" s="233">
        <v>5</v>
      </c>
      <c r="H69" s="233">
        <v>12</v>
      </c>
      <c r="I69" s="233" t="s">
        <v>715</v>
      </c>
      <c r="J69" s="234">
        <v>2494000</v>
      </c>
      <c r="K69" s="234">
        <v>42486000</v>
      </c>
      <c r="L69" s="234">
        <v>9800000</v>
      </c>
      <c r="M69" s="234">
        <v>20243000</v>
      </c>
      <c r="N69" s="234">
        <v>6793000</v>
      </c>
      <c r="O69" s="234">
        <v>0</v>
      </c>
      <c r="P69" s="234">
        <v>8860000</v>
      </c>
      <c r="Q69" s="242">
        <v>90676000</v>
      </c>
      <c r="R69" s="234">
        <v>59895000</v>
      </c>
      <c r="S69" s="234">
        <v>3258000</v>
      </c>
      <c r="T69" s="234">
        <v>0</v>
      </c>
      <c r="U69" s="234">
        <v>0</v>
      </c>
      <c r="V69" s="234">
        <v>175105000</v>
      </c>
      <c r="W69" s="234">
        <v>84532000</v>
      </c>
      <c r="X69" s="242">
        <v>90573000</v>
      </c>
      <c r="Y69" s="234">
        <v>24449000</v>
      </c>
      <c r="Z69" s="242">
        <v>178175000</v>
      </c>
      <c r="AA69" s="242">
        <v>268851000</v>
      </c>
      <c r="AB69" s="234">
        <v>47000</v>
      </c>
      <c r="AC69" s="234">
        <v>12463000</v>
      </c>
      <c r="AD69" s="234">
        <v>11221000</v>
      </c>
      <c r="AE69" s="234">
        <v>15270000</v>
      </c>
      <c r="AF69" s="242">
        <v>39001000</v>
      </c>
      <c r="AG69" s="234">
        <v>527000</v>
      </c>
      <c r="AH69" s="234">
        <v>0</v>
      </c>
      <c r="AI69" s="234">
        <v>10737000</v>
      </c>
      <c r="AJ69" s="242">
        <v>11264000</v>
      </c>
      <c r="AK69" s="242">
        <v>50265000</v>
      </c>
      <c r="AL69" s="234">
        <v>188506000</v>
      </c>
      <c r="AM69" s="234">
        <v>30080000</v>
      </c>
      <c r="AN69" s="234">
        <v>0</v>
      </c>
      <c r="AO69" s="242">
        <v>218586000</v>
      </c>
      <c r="AP69" s="242">
        <v>268851000</v>
      </c>
      <c r="AQ69" s="234">
        <v>153754000</v>
      </c>
      <c r="AR69" s="234">
        <v>0</v>
      </c>
      <c r="AS69" s="234">
        <v>10902000</v>
      </c>
      <c r="AT69" s="234">
        <v>0</v>
      </c>
      <c r="AU69" s="234">
        <v>0</v>
      </c>
      <c r="AV69" s="234">
        <v>0</v>
      </c>
      <c r="AW69" s="242">
        <v>164656000</v>
      </c>
      <c r="AX69" s="234">
        <v>5853000</v>
      </c>
      <c r="AY69" s="234">
        <v>-748000</v>
      </c>
      <c r="AZ69" s="234">
        <v>4277000</v>
      </c>
      <c r="BA69" s="234">
        <v>0</v>
      </c>
      <c r="BB69" s="234">
        <v>484000</v>
      </c>
      <c r="BC69" s="242">
        <v>9866000</v>
      </c>
      <c r="BD69" s="242">
        <v>174522000</v>
      </c>
      <c r="BE69" s="234">
        <v>97463000</v>
      </c>
      <c r="BF69" s="234">
        <v>0</v>
      </c>
      <c r="BG69" s="234">
        <v>7126000</v>
      </c>
      <c r="BH69" s="234">
        <v>52000</v>
      </c>
      <c r="BI69" s="234">
        <v>365000</v>
      </c>
      <c r="BJ69" s="234">
        <v>58899000</v>
      </c>
      <c r="BK69" s="234">
        <v>0</v>
      </c>
      <c r="BL69" s="242">
        <v>163905000</v>
      </c>
      <c r="BM69" s="242">
        <v>10617000</v>
      </c>
      <c r="BN69" s="234">
        <v>-5137000</v>
      </c>
      <c r="BO69" s="234">
        <v>244000</v>
      </c>
      <c r="BP69" s="234">
        <v>5724000</v>
      </c>
      <c r="BQ69" s="234">
        <v>170000</v>
      </c>
      <c r="BR69" s="234">
        <v>0</v>
      </c>
      <c r="BS69" s="242">
        <v>5894000</v>
      </c>
      <c r="BT69" s="243">
        <v>4.0000000000000001E-3</v>
      </c>
      <c r="BU69" s="243">
        <v>5.7000000000000002E-2</v>
      </c>
      <c r="BV69" s="243">
        <v>6.0999999999999999E-2</v>
      </c>
      <c r="BW69" s="244">
        <v>2.2999999999999998</v>
      </c>
      <c r="BX69" s="245">
        <v>48</v>
      </c>
      <c r="BY69" s="245">
        <v>62</v>
      </c>
      <c r="BZ69" s="246">
        <f t="shared" si="4"/>
        <v>1.8845671267252195</v>
      </c>
      <c r="CA69" s="247">
        <v>0.44900000000000001</v>
      </c>
      <c r="CB69" s="247">
        <v>0.81299999999999994</v>
      </c>
      <c r="CC69" s="248">
        <v>12</v>
      </c>
      <c r="CD69" s="249">
        <v>105</v>
      </c>
      <c r="CE69" s="247">
        <f t="shared" si="5"/>
        <v>2.7878730168806503E-3</v>
      </c>
      <c r="CF69" s="242">
        <v>10617000</v>
      </c>
      <c r="CG69" s="243">
        <v>4.0000000000000001E-3</v>
      </c>
      <c r="CH69" s="243">
        <v>5.7000000000000002E-2</v>
      </c>
      <c r="CI69" s="243">
        <v>6.0999999999999999E-2</v>
      </c>
    </row>
    <row r="70" spans="1:87" s="60" customFormat="1" ht="22.8" hidden="1" x14ac:dyDescent="0.3">
      <c r="A70" s="238">
        <v>3791</v>
      </c>
      <c r="B70" s="238" t="s">
        <v>141</v>
      </c>
      <c r="C70" s="238" t="s">
        <v>75</v>
      </c>
      <c r="D70" s="238">
        <v>3791</v>
      </c>
      <c r="E70" s="238">
        <v>2025</v>
      </c>
      <c r="F70" s="238" t="s">
        <v>275</v>
      </c>
      <c r="G70" s="238">
        <v>5</v>
      </c>
      <c r="H70" s="238">
        <v>12</v>
      </c>
      <c r="I70" s="238" t="s">
        <v>715</v>
      </c>
      <c r="J70" s="239">
        <v>529648000</v>
      </c>
      <c r="K70" s="239">
        <v>4660478000</v>
      </c>
      <c r="L70" s="239">
        <v>3364140000</v>
      </c>
      <c r="M70" s="239">
        <v>1774269000</v>
      </c>
      <c r="N70" s="239">
        <v>0</v>
      </c>
      <c r="O70" s="239">
        <v>167811000</v>
      </c>
      <c r="P70" s="239">
        <v>1651862000</v>
      </c>
      <c r="Q70" s="242">
        <v>12148208000</v>
      </c>
      <c r="R70" s="239">
        <v>7404116000</v>
      </c>
      <c r="S70" s="239">
        <v>478502000</v>
      </c>
      <c r="T70" s="239">
        <v>0</v>
      </c>
      <c r="U70" s="239">
        <v>0</v>
      </c>
      <c r="V70" s="239">
        <v>16347103000</v>
      </c>
      <c r="W70" s="239">
        <v>8517223000</v>
      </c>
      <c r="X70" s="242">
        <v>7829880000</v>
      </c>
      <c r="Y70" s="239">
        <v>7967723000</v>
      </c>
      <c r="Z70" s="242">
        <v>23680221000</v>
      </c>
      <c r="AA70" s="242">
        <v>35828429000</v>
      </c>
      <c r="AB70" s="239">
        <v>448435000</v>
      </c>
      <c r="AC70" s="239">
        <v>92740000</v>
      </c>
      <c r="AD70" s="239">
        <v>0</v>
      </c>
      <c r="AE70" s="239">
        <v>3438545000</v>
      </c>
      <c r="AF70" s="242">
        <v>3979720000</v>
      </c>
      <c r="AG70" s="239">
        <v>5599780000</v>
      </c>
      <c r="AH70" s="239">
        <v>0</v>
      </c>
      <c r="AI70" s="239">
        <v>2637360000</v>
      </c>
      <c r="AJ70" s="242">
        <v>8237140000</v>
      </c>
      <c r="AK70" s="242">
        <v>12216860000</v>
      </c>
      <c r="AL70" s="239">
        <v>18968298000</v>
      </c>
      <c r="AM70" s="239">
        <v>4643271000</v>
      </c>
      <c r="AN70" s="239">
        <v>0</v>
      </c>
      <c r="AO70" s="242">
        <v>23611569000</v>
      </c>
      <c r="AP70" s="242">
        <v>35828429000</v>
      </c>
      <c r="AQ70" s="239">
        <v>14480064000</v>
      </c>
      <c r="AR70" s="239">
        <v>0</v>
      </c>
      <c r="AS70" s="239">
        <v>8327705000</v>
      </c>
      <c r="AT70" s="239">
        <v>0</v>
      </c>
      <c r="AU70" s="239">
        <v>0</v>
      </c>
      <c r="AV70" s="239">
        <v>0</v>
      </c>
      <c r="AW70" s="242">
        <v>22807769000</v>
      </c>
      <c r="AX70" s="239">
        <v>646313000</v>
      </c>
      <c r="AY70" s="239">
        <v>-84185000</v>
      </c>
      <c r="AZ70" s="239">
        <v>1104819000</v>
      </c>
      <c r="BA70" s="239">
        <v>0</v>
      </c>
      <c r="BB70" s="239">
        <v>659519000</v>
      </c>
      <c r="BC70" s="242">
        <v>2326466000</v>
      </c>
      <c r="BD70" s="242">
        <v>25134235000</v>
      </c>
      <c r="BE70" s="239">
        <v>11122914000</v>
      </c>
      <c r="BF70" s="239">
        <v>0</v>
      </c>
      <c r="BG70" s="239">
        <v>791752000</v>
      </c>
      <c r="BH70" s="239">
        <v>165406000</v>
      </c>
      <c r="BI70" s="239">
        <v>58000000</v>
      </c>
      <c r="BJ70" s="239">
        <v>10610521000</v>
      </c>
      <c r="BK70" s="239">
        <v>0</v>
      </c>
      <c r="BL70" s="242">
        <v>22748593000</v>
      </c>
      <c r="BM70" s="242">
        <v>2385642000</v>
      </c>
      <c r="BN70" s="239">
        <v>0</v>
      </c>
      <c r="BO70" s="239">
        <v>33072000</v>
      </c>
      <c r="BP70" s="239">
        <v>2418714000</v>
      </c>
      <c r="BQ70" s="239">
        <v>1135994000</v>
      </c>
      <c r="BR70" s="239">
        <v>0</v>
      </c>
      <c r="BS70" s="242">
        <v>3554708000</v>
      </c>
      <c r="BT70" s="243">
        <v>2E-3</v>
      </c>
      <c r="BU70" s="243">
        <v>9.2999999999999999E-2</v>
      </c>
      <c r="BV70" s="243">
        <v>9.5000000000000001E-2</v>
      </c>
      <c r="BW70" s="244">
        <v>3.1</v>
      </c>
      <c r="BX70" s="245">
        <v>45</v>
      </c>
      <c r="BY70" s="245">
        <v>65</v>
      </c>
      <c r="BZ70" s="246">
        <f t="shared" si="4"/>
        <v>1.80455124912614</v>
      </c>
      <c r="CA70" s="247">
        <v>0.33200000000000002</v>
      </c>
      <c r="CB70" s="247">
        <v>0.65900000000000003</v>
      </c>
      <c r="CC70" s="248">
        <v>11</v>
      </c>
      <c r="CD70" s="249">
        <v>86</v>
      </c>
      <c r="CE70" s="247">
        <f t="shared" si="5"/>
        <v>0.22792910377441816</v>
      </c>
      <c r="CF70" s="242">
        <v>2385642000</v>
      </c>
      <c r="CG70" s="243">
        <v>2E-3</v>
      </c>
      <c r="CH70" s="243">
        <v>9.2999999999999999E-2</v>
      </c>
      <c r="CI70" s="243">
        <v>9.5000000000000001E-2</v>
      </c>
    </row>
    <row r="71" spans="1:87" s="60" customFormat="1" ht="22.8" hidden="1" x14ac:dyDescent="0.3">
      <c r="A71" s="233">
        <v>14423</v>
      </c>
      <c r="B71" s="233" t="s">
        <v>153</v>
      </c>
      <c r="C71" s="233" t="s">
        <v>83</v>
      </c>
      <c r="D71" s="233">
        <v>3791</v>
      </c>
      <c r="E71" s="233">
        <v>2025</v>
      </c>
      <c r="F71" s="233" t="s">
        <v>275</v>
      </c>
      <c r="G71" s="233">
        <v>5</v>
      </c>
      <c r="H71" s="233">
        <v>12</v>
      </c>
      <c r="I71" s="233" t="s">
        <v>715</v>
      </c>
      <c r="J71" s="234">
        <v>0</v>
      </c>
      <c r="K71" s="234">
        <v>0</v>
      </c>
      <c r="L71" s="234">
        <v>0</v>
      </c>
      <c r="M71" s="234">
        <v>0</v>
      </c>
      <c r="N71" s="234">
        <v>0</v>
      </c>
      <c r="O71" s="234">
        <v>0</v>
      </c>
      <c r="P71" s="234">
        <v>0</v>
      </c>
      <c r="Q71" s="242">
        <v>0</v>
      </c>
      <c r="R71" s="234">
        <v>0</v>
      </c>
      <c r="S71" s="234">
        <v>0</v>
      </c>
      <c r="T71" s="234">
        <v>0</v>
      </c>
      <c r="U71" s="234">
        <v>0</v>
      </c>
      <c r="V71" s="234">
        <v>0</v>
      </c>
      <c r="W71" s="234">
        <v>0</v>
      </c>
      <c r="X71" s="242">
        <v>0</v>
      </c>
      <c r="Y71" s="234">
        <v>0</v>
      </c>
      <c r="Z71" s="242">
        <v>0</v>
      </c>
      <c r="AA71" s="242">
        <v>0</v>
      </c>
      <c r="AB71" s="234">
        <v>0</v>
      </c>
      <c r="AC71" s="234">
        <v>0</v>
      </c>
      <c r="AD71" s="234">
        <v>0</v>
      </c>
      <c r="AE71" s="234">
        <v>0</v>
      </c>
      <c r="AF71" s="242">
        <v>0</v>
      </c>
      <c r="AG71" s="234">
        <v>0</v>
      </c>
      <c r="AH71" s="234">
        <v>0</v>
      </c>
      <c r="AI71" s="234">
        <v>0</v>
      </c>
      <c r="AJ71" s="242">
        <v>0</v>
      </c>
      <c r="AK71" s="242">
        <v>0</v>
      </c>
      <c r="AL71" s="234">
        <v>0</v>
      </c>
      <c r="AM71" s="234">
        <v>0</v>
      </c>
      <c r="AN71" s="234">
        <v>0</v>
      </c>
      <c r="AO71" s="242">
        <v>0</v>
      </c>
      <c r="AP71" s="242">
        <v>0</v>
      </c>
      <c r="AQ71" s="234">
        <v>181774000</v>
      </c>
      <c r="AR71" s="234">
        <v>0</v>
      </c>
      <c r="AS71" s="234">
        <v>30641000</v>
      </c>
      <c r="AT71" s="234">
        <v>0</v>
      </c>
      <c r="AU71" s="234">
        <v>0</v>
      </c>
      <c r="AV71" s="234">
        <v>0</v>
      </c>
      <c r="AW71" s="242">
        <v>212415000</v>
      </c>
      <c r="AX71" s="234">
        <v>3897000</v>
      </c>
      <c r="AY71" s="234">
        <v>0</v>
      </c>
      <c r="AZ71" s="234">
        <v>-862000</v>
      </c>
      <c r="BA71" s="234">
        <v>0</v>
      </c>
      <c r="BB71" s="234">
        <v>-14000</v>
      </c>
      <c r="BC71" s="242">
        <v>3021000</v>
      </c>
      <c r="BD71" s="242">
        <v>215436000</v>
      </c>
      <c r="BE71" s="234">
        <v>177613000</v>
      </c>
      <c r="BF71" s="234">
        <v>0</v>
      </c>
      <c r="BG71" s="234">
        <v>992000</v>
      </c>
      <c r="BH71" s="234">
        <v>1000</v>
      </c>
      <c r="BI71" s="234">
        <v>0</v>
      </c>
      <c r="BJ71" s="234">
        <v>30213000</v>
      </c>
      <c r="BK71" s="234">
        <v>0</v>
      </c>
      <c r="BL71" s="242">
        <v>208819000</v>
      </c>
      <c r="BM71" s="242">
        <v>6617000</v>
      </c>
      <c r="BN71" s="234">
        <v>163000</v>
      </c>
      <c r="BO71" s="234">
        <v>0</v>
      </c>
      <c r="BP71" s="234">
        <v>6780000</v>
      </c>
      <c r="BQ71" s="234">
        <v>0</v>
      </c>
      <c r="BR71" s="234">
        <v>0</v>
      </c>
      <c r="BS71" s="242">
        <v>6780000</v>
      </c>
      <c r="BT71" s="243">
        <v>1.7000000000000001E-2</v>
      </c>
      <c r="BU71" s="243">
        <v>1.4E-2</v>
      </c>
      <c r="BV71" s="243">
        <v>3.1E-2</v>
      </c>
      <c r="BW71" s="244">
        <v>0</v>
      </c>
      <c r="BX71" s="245">
        <v>0</v>
      </c>
      <c r="BY71" s="245">
        <v>0</v>
      </c>
      <c r="BZ71" s="246">
        <f t="shared" si="4"/>
        <v>8.5403225806451619</v>
      </c>
      <c r="CA71" s="247">
        <v>0</v>
      </c>
      <c r="CB71" s="247">
        <v>0</v>
      </c>
      <c r="CC71" s="248">
        <v>0</v>
      </c>
      <c r="CD71" s="249">
        <v>0</v>
      </c>
      <c r="CE71" s="247" t="e">
        <f t="shared" si="5"/>
        <v>#DIV/0!</v>
      </c>
      <c r="CF71" s="242">
        <v>6617000</v>
      </c>
      <c r="CG71" s="243">
        <v>1.7000000000000001E-2</v>
      </c>
      <c r="CH71" s="243">
        <v>1.4E-2</v>
      </c>
      <c r="CI71" s="243">
        <v>3.1E-2</v>
      </c>
    </row>
    <row r="72" spans="1:87" s="60" customFormat="1" ht="22.8" x14ac:dyDescent="0.3">
      <c r="A72" s="233">
        <v>89</v>
      </c>
      <c r="B72" s="233" t="s">
        <v>146</v>
      </c>
      <c r="C72" s="233" t="s">
        <v>77</v>
      </c>
      <c r="D72" s="233">
        <v>3791</v>
      </c>
      <c r="E72" s="233">
        <v>2025</v>
      </c>
      <c r="F72" s="233" t="s">
        <v>275</v>
      </c>
      <c r="G72" s="233">
        <v>5</v>
      </c>
      <c r="H72" s="233">
        <v>12</v>
      </c>
      <c r="I72" s="233" t="s">
        <v>715</v>
      </c>
      <c r="J72" s="234">
        <v>-42418000</v>
      </c>
      <c r="K72" s="234">
        <v>-29902000</v>
      </c>
      <c r="L72" s="234">
        <v>6698000</v>
      </c>
      <c r="M72" s="234">
        <v>34639000</v>
      </c>
      <c r="N72" s="234">
        <v>39922000</v>
      </c>
      <c r="O72" s="234">
        <v>1871000</v>
      </c>
      <c r="P72" s="234">
        <v>16273000</v>
      </c>
      <c r="Q72" s="242">
        <v>27083000</v>
      </c>
      <c r="R72" s="234">
        <v>67117000</v>
      </c>
      <c r="S72" s="234">
        <v>0</v>
      </c>
      <c r="T72" s="234">
        <v>0</v>
      </c>
      <c r="U72" s="234">
        <v>0</v>
      </c>
      <c r="V72" s="234">
        <v>367956000</v>
      </c>
      <c r="W72" s="234">
        <v>216562000</v>
      </c>
      <c r="X72" s="242">
        <v>151394000</v>
      </c>
      <c r="Y72" s="234">
        <v>49029000</v>
      </c>
      <c r="Z72" s="242">
        <v>267540000</v>
      </c>
      <c r="AA72" s="242">
        <v>294623000</v>
      </c>
      <c r="AB72" s="234">
        <v>9734000</v>
      </c>
      <c r="AC72" s="234">
        <v>1845000</v>
      </c>
      <c r="AD72" s="234">
        <v>37210000</v>
      </c>
      <c r="AE72" s="234">
        <v>47511000</v>
      </c>
      <c r="AF72" s="242">
        <v>96300000</v>
      </c>
      <c r="AG72" s="234">
        <v>105562000</v>
      </c>
      <c r="AH72" s="234">
        <v>0</v>
      </c>
      <c r="AI72" s="234">
        <v>50846000</v>
      </c>
      <c r="AJ72" s="242">
        <v>156408000</v>
      </c>
      <c r="AK72" s="242">
        <v>252708000</v>
      </c>
      <c r="AL72" s="234">
        <v>40373000</v>
      </c>
      <c r="AM72" s="234">
        <v>1542000</v>
      </c>
      <c r="AN72" s="234">
        <v>0</v>
      </c>
      <c r="AO72" s="242">
        <v>41915000</v>
      </c>
      <c r="AP72" s="242">
        <v>294623000</v>
      </c>
      <c r="AQ72" s="234">
        <v>347309000</v>
      </c>
      <c r="AR72" s="234">
        <v>0</v>
      </c>
      <c r="AS72" s="234">
        <v>83914000</v>
      </c>
      <c r="AT72" s="234">
        <v>0</v>
      </c>
      <c r="AU72" s="234">
        <v>0</v>
      </c>
      <c r="AV72" s="234">
        <v>0</v>
      </c>
      <c r="AW72" s="242">
        <v>431223000</v>
      </c>
      <c r="AX72" s="234">
        <v>-875000</v>
      </c>
      <c r="AY72" s="234">
        <v>-4654000</v>
      </c>
      <c r="AZ72" s="234">
        <v>2380000</v>
      </c>
      <c r="BA72" s="234">
        <v>0</v>
      </c>
      <c r="BB72" s="234">
        <v>4645000</v>
      </c>
      <c r="BC72" s="242">
        <v>1496000</v>
      </c>
      <c r="BD72" s="242">
        <v>432719000</v>
      </c>
      <c r="BE72" s="234">
        <v>139054000</v>
      </c>
      <c r="BF72" s="234">
        <v>0</v>
      </c>
      <c r="BG72" s="234">
        <v>23996000</v>
      </c>
      <c r="BH72" s="234">
        <v>4876000</v>
      </c>
      <c r="BI72" s="234">
        <v>1566000</v>
      </c>
      <c r="BJ72" s="234">
        <v>249436000</v>
      </c>
      <c r="BK72" s="234">
        <v>0</v>
      </c>
      <c r="BL72" s="242">
        <v>418928000</v>
      </c>
      <c r="BM72" s="242">
        <v>13791000</v>
      </c>
      <c r="BN72" s="234">
        <v>4571000</v>
      </c>
      <c r="BO72" s="234">
        <v>5056000</v>
      </c>
      <c r="BP72" s="234">
        <v>23418000</v>
      </c>
      <c r="BQ72" s="234">
        <v>117000</v>
      </c>
      <c r="BR72" s="234">
        <v>0</v>
      </c>
      <c r="BS72" s="242">
        <v>23535000</v>
      </c>
      <c r="BT72" s="243">
        <v>2.8000000000000001E-2</v>
      </c>
      <c r="BU72" s="243">
        <v>3.0000000000000001E-3</v>
      </c>
      <c r="BV72" s="243">
        <v>3.2000000000000001E-2</v>
      </c>
      <c r="BW72" s="244">
        <v>0.3</v>
      </c>
      <c r="BX72" s="245">
        <v>36</v>
      </c>
      <c r="BY72" s="245">
        <v>87</v>
      </c>
      <c r="BZ72" s="246">
        <f t="shared" si="4"/>
        <v>1.1942780907204269</v>
      </c>
      <c r="CA72" s="247">
        <v>0.187</v>
      </c>
      <c r="CB72" s="247">
        <v>0.14199999999999999</v>
      </c>
      <c r="CC72" s="248">
        <v>9</v>
      </c>
      <c r="CD72" s="249">
        <v>-67</v>
      </c>
      <c r="CE72" s="247">
        <f t="shared" si="5"/>
        <v>0.7233494363929146</v>
      </c>
      <c r="CF72" s="242">
        <v>13791000</v>
      </c>
      <c r="CG72" s="243">
        <v>2.8000000000000001E-2</v>
      </c>
      <c r="CH72" s="243">
        <v>3.0000000000000001E-3</v>
      </c>
      <c r="CI72" s="243">
        <v>3.2000000000000001E-2</v>
      </c>
    </row>
    <row r="73" spans="1:87" s="60" customFormat="1" ht="22.8" x14ac:dyDescent="0.3">
      <c r="A73" s="233">
        <v>91</v>
      </c>
      <c r="B73" s="233" t="s">
        <v>147</v>
      </c>
      <c r="C73" s="233" t="s">
        <v>77</v>
      </c>
      <c r="D73" s="233">
        <v>3791</v>
      </c>
      <c r="E73" s="233">
        <v>2025</v>
      </c>
      <c r="F73" s="233" t="s">
        <v>275</v>
      </c>
      <c r="G73" s="233">
        <v>5</v>
      </c>
      <c r="H73" s="233">
        <v>12</v>
      </c>
      <c r="I73" s="233" t="s">
        <v>715</v>
      </c>
      <c r="J73" s="234">
        <v>246735000</v>
      </c>
      <c r="K73" s="234">
        <v>-74411000</v>
      </c>
      <c r="L73" s="234">
        <v>213395000</v>
      </c>
      <c r="M73" s="234">
        <v>601376000</v>
      </c>
      <c r="N73" s="234">
        <v>556445000</v>
      </c>
      <c r="O73" s="234">
        <v>4129000</v>
      </c>
      <c r="P73" s="234">
        <v>371606000</v>
      </c>
      <c r="Q73" s="242">
        <v>1919275000</v>
      </c>
      <c r="R73" s="234">
        <v>2358717000</v>
      </c>
      <c r="S73" s="234">
        <v>113676000</v>
      </c>
      <c r="T73" s="234">
        <v>2885465000</v>
      </c>
      <c r="U73" s="234">
        <v>0</v>
      </c>
      <c r="V73" s="234">
        <v>6274548000</v>
      </c>
      <c r="W73" s="234">
        <v>3141551000</v>
      </c>
      <c r="X73" s="242">
        <v>3132997000</v>
      </c>
      <c r="Y73" s="234">
        <v>321596000</v>
      </c>
      <c r="Z73" s="242">
        <v>8812451000</v>
      </c>
      <c r="AA73" s="242">
        <v>10731726000</v>
      </c>
      <c r="AB73" s="234">
        <v>71249000</v>
      </c>
      <c r="AC73" s="234">
        <v>19438000</v>
      </c>
      <c r="AD73" s="234">
        <v>511073000</v>
      </c>
      <c r="AE73" s="234">
        <v>842717000</v>
      </c>
      <c r="AF73" s="242">
        <v>1444477000</v>
      </c>
      <c r="AG73" s="234">
        <v>1127288000</v>
      </c>
      <c r="AH73" s="234">
        <v>0</v>
      </c>
      <c r="AI73" s="234">
        <v>766898000</v>
      </c>
      <c r="AJ73" s="242">
        <v>1894186000</v>
      </c>
      <c r="AK73" s="242">
        <v>3338663000</v>
      </c>
      <c r="AL73" s="234">
        <v>4332927000</v>
      </c>
      <c r="AM73" s="234">
        <v>3060136000</v>
      </c>
      <c r="AN73" s="234">
        <v>0</v>
      </c>
      <c r="AO73" s="242">
        <v>7393063000</v>
      </c>
      <c r="AP73" s="242">
        <v>10731726000</v>
      </c>
      <c r="AQ73" s="234">
        <v>4454238000</v>
      </c>
      <c r="AR73" s="234">
        <v>0</v>
      </c>
      <c r="AS73" s="234">
        <v>2811930000</v>
      </c>
      <c r="AT73" s="234">
        <v>0</v>
      </c>
      <c r="AU73" s="234">
        <v>0</v>
      </c>
      <c r="AV73" s="234">
        <v>0</v>
      </c>
      <c r="AW73" s="242">
        <v>7266168000</v>
      </c>
      <c r="AX73" s="234">
        <v>8902000</v>
      </c>
      <c r="AY73" s="234">
        <v>0</v>
      </c>
      <c r="AZ73" s="234">
        <v>132182000</v>
      </c>
      <c r="BA73" s="234">
        <v>0</v>
      </c>
      <c r="BB73" s="234">
        <v>164719000</v>
      </c>
      <c r="BC73" s="242">
        <v>305803000</v>
      </c>
      <c r="BD73" s="242">
        <v>7571971000</v>
      </c>
      <c r="BE73" s="234">
        <v>2292115000</v>
      </c>
      <c r="BF73" s="234">
        <v>0</v>
      </c>
      <c r="BG73" s="234">
        <v>274903000</v>
      </c>
      <c r="BH73" s="234">
        <v>17002000</v>
      </c>
      <c r="BI73" s="234">
        <v>25749000</v>
      </c>
      <c r="BJ73" s="234">
        <v>4283430000</v>
      </c>
      <c r="BK73" s="234">
        <v>0</v>
      </c>
      <c r="BL73" s="242">
        <v>6893199000</v>
      </c>
      <c r="BM73" s="242">
        <v>678772000</v>
      </c>
      <c r="BN73" s="234">
        <v>-202227000</v>
      </c>
      <c r="BO73" s="234">
        <v>2572000</v>
      </c>
      <c r="BP73" s="234">
        <v>479117000</v>
      </c>
      <c r="BQ73" s="234">
        <v>238000</v>
      </c>
      <c r="BR73" s="234">
        <v>0</v>
      </c>
      <c r="BS73" s="242">
        <v>479355000</v>
      </c>
      <c r="BT73" s="243">
        <v>4.9000000000000002E-2</v>
      </c>
      <c r="BU73" s="243">
        <v>0.04</v>
      </c>
      <c r="BV73" s="243">
        <v>0.09</v>
      </c>
      <c r="BW73" s="244">
        <v>1.3</v>
      </c>
      <c r="BX73" s="245">
        <v>49</v>
      </c>
      <c r="BY73" s="245">
        <v>79</v>
      </c>
      <c r="BZ73" s="246">
        <f t="shared" si="4"/>
        <v>2.4223318079918648</v>
      </c>
      <c r="CA73" s="247">
        <v>0.371</v>
      </c>
      <c r="CB73" s="247">
        <v>0.68899999999999995</v>
      </c>
      <c r="CC73" s="248">
        <v>11</v>
      </c>
      <c r="CD73" s="249">
        <v>10</v>
      </c>
      <c r="CE73" s="247">
        <f t="shared" si="5"/>
        <v>0.20645487402968565</v>
      </c>
      <c r="CF73" s="242">
        <v>678772000</v>
      </c>
      <c r="CG73" s="243">
        <v>4.9000000000000002E-2</v>
      </c>
      <c r="CH73" s="243">
        <v>0.04</v>
      </c>
      <c r="CI73" s="243">
        <v>0.09</v>
      </c>
    </row>
    <row r="74" spans="1:87" s="60" customFormat="1" ht="34.200000000000003" hidden="1" x14ac:dyDescent="0.3">
      <c r="A74" s="238">
        <v>11002</v>
      </c>
      <c r="B74" s="238" t="s">
        <v>154</v>
      </c>
      <c r="C74" s="238" t="s">
        <v>83</v>
      </c>
      <c r="D74" s="238">
        <v>3791</v>
      </c>
      <c r="E74" s="238">
        <v>2025</v>
      </c>
      <c r="F74" s="238" t="s">
        <v>275</v>
      </c>
      <c r="G74" s="238">
        <v>5</v>
      </c>
      <c r="H74" s="238">
        <v>12</v>
      </c>
      <c r="I74" s="238" t="s">
        <v>715</v>
      </c>
      <c r="J74" s="239">
        <v>0</v>
      </c>
      <c r="K74" s="239">
        <v>0</v>
      </c>
      <c r="L74" s="239">
        <v>0</v>
      </c>
      <c r="M74" s="239">
        <v>0</v>
      </c>
      <c r="N74" s="239">
        <v>0</v>
      </c>
      <c r="O74" s="239">
        <v>0</v>
      </c>
      <c r="P74" s="239">
        <v>0</v>
      </c>
      <c r="Q74" s="242">
        <v>0</v>
      </c>
      <c r="R74" s="239">
        <v>0</v>
      </c>
      <c r="S74" s="239">
        <v>0</v>
      </c>
      <c r="T74" s="239">
        <v>0</v>
      </c>
      <c r="U74" s="239">
        <v>0</v>
      </c>
      <c r="V74" s="239">
        <v>0</v>
      </c>
      <c r="W74" s="239">
        <v>0</v>
      </c>
      <c r="X74" s="242">
        <v>0</v>
      </c>
      <c r="Y74" s="239">
        <v>0</v>
      </c>
      <c r="Z74" s="242">
        <v>0</v>
      </c>
      <c r="AA74" s="242">
        <v>0</v>
      </c>
      <c r="AB74" s="239">
        <v>0</v>
      </c>
      <c r="AC74" s="239">
        <v>0</v>
      </c>
      <c r="AD74" s="239">
        <v>0</v>
      </c>
      <c r="AE74" s="239">
        <v>0</v>
      </c>
      <c r="AF74" s="242">
        <v>0</v>
      </c>
      <c r="AG74" s="239">
        <v>0</v>
      </c>
      <c r="AH74" s="239">
        <v>0</v>
      </c>
      <c r="AI74" s="239">
        <v>0</v>
      </c>
      <c r="AJ74" s="242">
        <v>0</v>
      </c>
      <c r="AK74" s="242">
        <v>0</v>
      </c>
      <c r="AL74" s="239">
        <v>0</v>
      </c>
      <c r="AM74" s="239">
        <v>0</v>
      </c>
      <c r="AN74" s="239">
        <v>0</v>
      </c>
      <c r="AO74" s="242">
        <v>0</v>
      </c>
      <c r="AP74" s="242">
        <v>0</v>
      </c>
      <c r="AQ74" s="239">
        <v>1136688000</v>
      </c>
      <c r="AR74" s="239">
        <v>0</v>
      </c>
      <c r="AS74" s="239">
        <v>575790000</v>
      </c>
      <c r="AT74" s="239">
        <v>0</v>
      </c>
      <c r="AU74" s="239">
        <v>0</v>
      </c>
      <c r="AV74" s="239">
        <v>0</v>
      </c>
      <c r="AW74" s="242">
        <v>1712478000</v>
      </c>
      <c r="AX74" s="239">
        <v>64129000</v>
      </c>
      <c r="AY74" s="239">
        <v>1000</v>
      </c>
      <c r="AZ74" s="239">
        <v>61866000</v>
      </c>
      <c r="BA74" s="239">
        <v>0</v>
      </c>
      <c r="BB74" s="239">
        <v>202000</v>
      </c>
      <c r="BC74" s="242">
        <v>126198000</v>
      </c>
      <c r="BD74" s="242">
        <v>1838676000</v>
      </c>
      <c r="BE74" s="239">
        <v>1397318000</v>
      </c>
      <c r="BF74" s="239">
        <v>0</v>
      </c>
      <c r="BG74" s="239">
        <v>19795000</v>
      </c>
      <c r="BH74" s="239">
        <v>1405000</v>
      </c>
      <c r="BI74" s="239">
        <v>0</v>
      </c>
      <c r="BJ74" s="239">
        <v>267741000</v>
      </c>
      <c r="BK74" s="239">
        <v>0</v>
      </c>
      <c r="BL74" s="242">
        <v>1686259000</v>
      </c>
      <c r="BM74" s="242">
        <v>152417000</v>
      </c>
      <c r="BN74" s="239">
        <v>-12091000</v>
      </c>
      <c r="BO74" s="239">
        <v>0</v>
      </c>
      <c r="BP74" s="239">
        <v>140326000</v>
      </c>
      <c r="BQ74" s="239">
        <v>-327000</v>
      </c>
      <c r="BR74" s="239">
        <v>0</v>
      </c>
      <c r="BS74" s="242">
        <v>139999000</v>
      </c>
      <c r="BT74" s="243">
        <v>1.4E-2</v>
      </c>
      <c r="BU74" s="243">
        <v>6.9000000000000006E-2</v>
      </c>
      <c r="BV74" s="243">
        <v>8.3000000000000004E-2</v>
      </c>
      <c r="BW74" s="244">
        <v>0</v>
      </c>
      <c r="BX74" s="245">
        <v>0</v>
      </c>
      <c r="BY74" s="245">
        <v>0</v>
      </c>
      <c r="BZ74" s="246">
        <f t="shared" si="4"/>
        <v>5.6454155089669111</v>
      </c>
      <c r="CA74" s="247">
        <v>0</v>
      </c>
      <c r="CB74" s="247">
        <v>0</v>
      </c>
      <c r="CC74" s="248">
        <v>0</v>
      </c>
      <c r="CD74" s="249">
        <v>0</v>
      </c>
      <c r="CE74" s="247" t="e">
        <f t="shared" si="5"/>
        <v>#DIV/0!</v>
      </c>
      <c r="CF74" s="242">
        <v>152417000</v>
      </c>
      <c r="CG74" s="243">
        <v>1.4E-2</v>
      </c>
      <c r="CH74" s="243">
        <v>6.9000000000000006E-2</v>
      </c>
      <c r="CI74" s="243">
        <v>8.3000000000000004E-2</v>
      </c>
    </row>
    <row r="75" spans="1:87" s="60" customFormat="1" ht="22.8" hidden="1" x14ac:dyDescent="0.3">
      <c r="A75" s="238">
        <v>11810</v>
      </c>
      <c r="B75" s="238" t="s">
        <v>126</v>
      </c>
      <c r="C75" s="238" t="s">
        <v>83</v>
      </c>
      <c r="D75" s="238">
        <v>3109</v>
      </c>
      <c r="E75" s="238">
        <v>2025</v>
      </c>
      <c r="F75" s="238" t="s">
        <v>275</v>
      </c>
      <c r="G75" s="238">
        <v>5</v>
      </c>
      <c r="H75" s="238">
        <v>12</v>
      </c>
      <c r="I75" s="238" t="s">
        <v>715</v>
      </c>
      <c r="J75" s="239">
        <v>0</v>
      </c>
      <c r="K75" s="239">
        <v>0</v>
      </c>
      <c r="L75" s="239">
        <v>0</v>
      </c>
      <c r="M75" s="239">
        <v>0</v>
      </c>
      <c r="N75" s="239">
        <v>0</v>
      </c>
      <c r="O75" s="239">
        <v>0</v>
      </c>
      <c r="P75" s="239">
        <v>0</v>
      </c>
      <c r="Q75" s="242">
        <v>0</v>
      </c>
      <c r="R75" s="239">
        <v>0</v>
      </c>
      <c r="S75" s="239">
        <v>0</v>
      </c>
      <c r="T75" s="239">
        <v>0</v>
      </c>
      <c r="U75" s="239">
        <v>0</v>
      </c>
      <c r="V75" s="239">
        <v>0</v>
      </c>
      <c r="W75" s="239">
        <v>0</v>
      </c>
      <c r="X75" s="242">
        <v>0</v>
      </c>
      <c r="Y75" s="239">
        <v>0</v>
      </c>
      <c r="Z75" s="242">
        <v>0</v>
      </c>
      <c r="AA75" s="242">
        <v>0</v>
      </c>
      <c r="AB75" s="239">
        <v>0</v>
      </c>
      <c r="AC75" s="239">
        <v>0</v>
      </c>
      <c r="AD75" s="239">
        <v>0</v>
      </c>
      <c r="AE75" s="239">
        <v>0</v>
      </c>
      <c r="AF75" s="242">
        <v>0</v>
      </c>
      <c r="AG75" s="239">
        <v>0</v>
      </c>
      <c r="AH75" s="239">
        <v>0</v>
      </c>
      <c r="AI75" s="239">
        <v>0</v>
      </c>
      <c r="AJ75" s="242">
        <v>0</v>
      </c>
      <c r="AK75" s="242">
        <v>0</v>
      </c>
      <c r="AL75" s="239">
        <v>0</v>
      </c>
      <c r="AM75" s="239">
        <v>0</v>
      </c>
      <c r="AN75" s="239">
        <v>0</v>
      </c>
      <c r="AO75" s="242">
        <v>0</v>
      </c>
      <c r="AP75" s="242">
        <v>0</v>
      </c>
      <c r="AQ75" s="239">
        <v>111261077</v>
      </c>
      <c r="AR75" s="239">
        <v>0</v>
      </c>
      <c r="AS75" s="239">
        <v>1582137</v>
      </c>
      <c r="AT75" s="239">
        <v>0</v>
      </c>
      <c r="AU75" s="239">
        <v>0</v>
      </c>
      <c r="AV75" s="239">
        <v>0</v>
      </c>
      <c r="AW75" s="242">
        <v>112843214</v>
      </c>
      <c r="AX75" s="239">
        <v>0</v>
      </c>
      <c r="AY75" s="239">
        <v>0</v>
      </c>
      <c r="AZ75" s="239">
        <v>0</v>
      </c>
      <c r="BA75" s="239">
        <v>0</v>
      </c>
      <c r="BB75" s="239">
        <v>0</v>
      </c>
      <c r="BC75" s="242">
        <v>0</v>
      </c>
      <c r="BD75" s="242">
        <v>112843214</v>
      </c>
      <c r="BE75" s="239">
        <v>121828400</v>
      </c>
      <c r="BF75" s="239">
        <v>0</v>
      </c>
      <c r="BG75" s="239">
        <v>304648</v>
      </c>
      <c r="BH75" s="239">
        <v>0</v>
      </c>
      <c r="BI75" s="239">
        <v>0</v>
      </c>
      <c r="BJ75" s="239">
        <v>35200537</v>
      </c>
      <c r="BK75" s="239">
        <v>0</v>
      </c>
      <c r="BL75" s="242">
        <v>157333585</v>
      </c>
      <c r="BM75" s="242">
        <v>-44490371</v>
      </c>
      <c r="BN75" s="239">
        <v>44490371</v>
      </c>
      <c r="BO75" s="239">
        <v>0</v>
      </c>
      <c r="BP75" s="239">
        <v>0</v>
      </c>
      <c r="BQ75" s="239">
        <v>0</v>
      </c>
      <c r="BR75" s="239">
        <v>0</v>
      </c>
      <c r="BS75" s="242">
        <v>0</v>
      </c>
      <c r="BT75" s="247">
        <v>-0.39400000000000002</v>
      </c>
      <c r="BU75" s="247">
        <v>0</v>
      </c>
      <c r="BV75" s="247">
        <v>-0.39400000000000002</v>
      </c>
      <c r="BW75" s="244">
        <v>0</v>
      </c>
      <c r="BX75" s="245">
        <v>0</v>
      </c>
      <c r="BY75" s="245">
        <v>0</v>
      </c>
      <c r="BZ75" s="246">
        <f t="shared" si="4"/>
        <v>-145.03861177490086</v>
      </c>
      <c r="CA75" s="247">
        <v>0</v>
      </c>
      <c r="CB75" s="247">
        <v>0</v>
      </c>
      <c r="CC75" s="248">
        <v>0</v>
      </c>
      <c r="CD75" s="248"/>
      <c r="CE75" s="247" t="e">
        <f t="shared" si="5"/>
        <v>#DIV/0!</v>
      </c>
      <c r="CF75" s="242">
        <v>0</v>
      </c>
      <c r="CG75" s="247">
        <v>0</v>
      </c>
      <c r="CH75" s="247">
        <v>-44490371</v>
      </c>
      <c r="CI75" s="247">
        <v>-0.39400000000000002</v>
      </c>
    </row>
    <row r="76" spans="1:87" s="60" customFormat="1" ht="22.8" x14ac:dyDescent="0.3">
      <c r="A76" s="233">
        <v>3111</v>
      </c>
      <c r="B76" s="233" t="s">
        <v>192</v>
      </c>
      <c r="C76" s="233" t="s">
        <v>77</v>
      </c>
      <c r="D76" s="233">
        <v>12775</v>
      </c>
      <c r="E76" s="233">
        <v>2025</v>
      </c>
      <c r="F76" s="233" t="s">
        <v>275</v>
      </c>
      <c r="G76" s="233">
        <v>5</v>
      </c>
      <c r="H76" s="233">
        <v>12</v>
      </c>
      <c r="I76" s="233" t="s">
        <v>715</v>
      </c>
      <c r="J76" s="234">
        <v>1087000</v>
      </c>
      <c r="K76" s="234">
        <v>14500000</v>
      </c>
      <c r="L76" s="234">
        <v>0</v>
      </c>
      <c r="M76" s="234">
        <v>32000000</v>
      </c>
      <c r="N76" s="234">
        <v>4054000</v>
      </c>
      <c r="O76" s="234">
        <v>4866000</v>
      </c>
      <c r="P76" s="234">
        <v>5670000</v>
      </c>
      <c r="Q76" s="242">
        <v>62177000</v>
      </c>
      <c r="R76" s="234">
        <v>23158000</v>
      </c>
      <c r="S76" s="234">
        <v>0</v>
      </c>
      <c r="T76" s="234">
        <v>0</v>
      </c>
      <c r="U76" s="234">
        <v>2849000</v>
      </c>
      <c r="V76" s="234">
        <v>553598000</v>
      </c>
      <c r="W76" s="234">
        <v>442081000</v>
      </c>
      <c r="X76" s="242">
        <v>111517000</v>
      </c>
      <c r="Y76" s="234">
        <v>13981000</v>
      </c>
      <c r="Z76" s="242">
        <v>151505000</v>
      </c>
      <c r="AA76" s="242">
        <v>213682000</v>
      </c>
      <c r="AB76" s="234">
        <v>19443000</v>
      </c>
      <c r="AC76" s="234">
        <v>899000</v>
      </c>
      <c r="AD76" s="234">
        <v>21608000</v>
      </c>
      <c r="AE76" s="234">
        <v>27962000</v>
      </c>
      <c r="AF76" s="242">
        <v>69912000</v>
      </c>
      <c r="AG76" s="234">
        <v>5827000</v>
      </c>
      <c r="AH76" s="234">
        <v>0</v>
      </c>
      <c r="AI76" s="234">
        <v>6100000</v>
      </c>
      <c r="AJ76" s="242">
        <v>11927000</v>
      </c>
      <c r="AK76" s="242">
        <v>81839000</v>
      </c>
      <c r="AL76" s="234">
        <v>108685000</v>
      </c>
      <c r="AM76" s="234">
        <v>5183000</v>
      </c>
      <c r="AN76" s="234">
        <v>17975000</v>
      </c>
      <c r="AO76" s="242">
        <v>131843000</v>
      </c>
      <c r="AP76" s="242">
        <v>213682000</v>
      </c>
      <c r="AQ76" s="234">
        <v>263978000</v>
      </c>
      <c r="AR76" s="234">
        <v>0</v>
      </c>
      <c r="AS76" s="234">
        <v>25352000</v>
      </c>
      <c r="AT76" s="234">
        <v>0</v>
      </c>
      <c r="AU76" s="234">
        <v>0</v>
      </c>
      <c r="AV76" s="234">
        <v>918000</v>
      </c>
      <c r="AW76" s="242">
        <v>290248000</v>
      </c>
      <c r="AX76" s="234">
        <v>231000</v>
      </c>
      <c r="AY76" s="234">
        <v>-226000</v>
      </c>
      <c r="AZ76" s="234">
        <v>0</v>
      </c>
      <c r="BA76" s="234">
        <v>0</v>
      </c>
      <c r="BB76" s="234">
        <v>0</v>
      </c>
      <c r="BC76" s="242">
        <v>5000</v>
      </c>
      <c r="BD76" s="242">
        <v>290253000</v>
      </c>
      <c r="BE76" s="234">
        <v>161675000</v>
      </c>
      <c r="BF76" s="234">
        <v>0</v>
      </c>
      <c r="BG76" s="234">
        <v>14693000</v>
      </c>
      <c r="BH76" s="234">
        <v>7311000</v>
      </c>
      <c r="BI76" s="234">
        <v>4561000</v>
      </c>
      <c r="BJ76" s="234">
        <v>102089000</v>
      </c>
      <c r="BK76" s="234">
        <v>0</v>
      </c>
      <c r="BL76" s="242">
        <v>290329000</v>
      </c>
      <c r="BM76" s="242">
        <v>-76000</v>
      </c>
      <c r="BN76" s="234">
        <v>5351000</v>
      </c>
      <c r="BO76" s="234">
        <v>757000</v>
      </c>
      <c r="BP76" s="234">
        <v>6032000</v>
      </c>
      <c r="BQ76" s="234">
        <v>0</v>
      </c>
      <c r="BR76" s="234">
        <v>0</v>
      </c>
      <c r="BS76" s="242">
        <v>6032000</v>
      </c>
      <c r="BT76" s="243">
        <v>0</v>
      </c>
      <c r="BU76" s="243">
        <v>0</v>
      </c>
      <c r="BV76" s="243">
        <v>0</v>
      </c>
      <c r="BW76" s="244">
        <v>0.9</v>
      </c>
      <c r="BX76" s="245">
        <v>44</v>
      </c>
      <c r="BY76" s="245">
        <v>91</v>
      </c>
      <c r="BZ76" s="246">
        <f t="shared" si="4"/>
        <v>0.6423716897117413</v>
      </c>
      <c r="CA76" s="247">
        <v>0.193</v>
      </c>
      <c r="CB76" s="247">
        <v>0.61699999999999999</v>
      </c>
      <c r="CC76" s="248">
        <v>30</v>
      </c>
      <c r="CD76" s="249">
        <v>21</v>
      </c>
      <c r="CE76" s="247">
        <f t="shared" si="5"/>
        <v>5.0885496716501326E-2</v>
      </c>
      <c r="CF76" s="242">
        <v>-76000</v>
      </c>
      <c r="CG76" s="243">
        <v>0</v>
      </c>
      <c r="CH76" s="243">
        <v>0</v>
      </c>
      <c r="CI76" s="243">
        <v>0</v>
      </c>
    </row>
    <row r="77" spans="1:87" s="60" customFormat="1" ht="22.8" hidden="1" x14ac:dyDescent="0.3">
      <c r="A77" s="233">
        <v>12151</v>
      </c>
      <c r="B77" s="233" t="s">
        <v>185</v>
      </c>
      <c r="C77" s="233" t="s">
        <v>83</v>
      </c>
      <c r="D77" s="233">
        <v>14288</v>
      </c>
      <c r="E77" s="233">
        <v>2025</v>
      </c>
      <c r="F77" s="233" t="s">
        <v>276</v>
      </c>
      <c r="G77" s="233">
        <v>5</v>
      </c>
      <c r="H77" s="233">
        <v>12</v>
      </c>
      <c r="I77" s="233" t="s">
        <v>716</v>
      </c>
      <c r="J77" s="234">
        <v>0</v>
      </c>
      <c r="K77" s="234">
        <v>0</v>
      </c>
      <c r="L77" s="234">
        <v>0</v>
      </c>
      <c r="M77" s="234">
        <v>0</v>
      </c>
      <c r="N77" s="234">
        <v>0</v>
      </c>
      <c r="O77" s="234">
        <v>0</v>
      </c>
      <c r="P77" s="234">
        <v>0</v>
      </c>
      <c r="Q77" s="242">
        <v>0</v>
      </c>
      <c r="R77" s="234">
        <v>0</v>
      </c>
      <c r="S77" s="234">
        <v>0</v>
      </c>
      <c r="T77" s="234">
        <v>0</v>
      </c>
      <c r="U77" s="234">
        <v>0</v>
      </c>
      <c r="V77" s="234">
        <v>0</v>
      </c>
      <c r="W77" s="234">
        <v>0</v>
      </c>
      <c r="X77" s="242">
        <v>0</v>
      </c>
      <c r="Y77" s="234">
        <v>0</v>
      </c>
      <c r="Z77" s="242">
        <v>0</v>
      </c>
      <c r="AA77" s="242">
        <v>0</v>
      </c>
      <c r="AB77" s="234">
        <v>0</v>
      </c>
      <c r="AC77" s="234">
        <v>0</v>
      </c>
      <c r="AD77" s="234">
        <v>0</v>
      </c>
      <c r="AE77" s="234">
        <v>0</v>
      </c>
      <c r="AF77" s="242">
        <v>0</v>
      </c>
      <c r="AG77" s="234">
        <v>0</v>
      </c>
      <c r="AH77" s="234">
        <v>0</v>
      </c>
      <c r="AI77" s="234">
        <v>0</v>
      </c>
      <c r="AJ77" s="242">
        <v>0</v>
      </c>
      <c r="AK77" s="242">
        <v>0</v>
      </c>
      <c r="AL77" s="234">
        <v>0</v>
      </c>
      <c r="AM77" s="234">
        <v>0</v>
      </c>
      <c r="AN77" s="234">
        <v>0</v>
      </c>
      <c r="AO77" s="242">
        <v>0</v>
      </c>
      <c r="AP77" s="242">
        <v>0</v>
      </c>
      <c r="AQ77" s="234">
        <v>10647250</v>
      </c>
      <c r="AR77" s="234">
        <v>5537</v>
      </c>
      <c r="AS77" s="234">
        <v>11711237</v>
      </c>
      <c r="AT77" s="234">
        <v>0</v>
      </c>
      <c r="AU77" s="234">
        <v>0</v>
      </c>
      <c r="AV77" s="234">
        <v>0</v>
      </c>
      <c r="AW77" s="242">
        <v>22364024</v>
      </c>
      <c r="AX77" s="234">
        <v>0</v>
      </c>
      <c r="AY77" s="234">
        <v>0</v>
      </c>
      <c r="AZ77" s="234">
        <v>0</v>
      </c>
      <c r="BA77" s="234">
        <v>0</v>
      </c>
      <c r="BB77" s="234">
        <v>0</v>
      </c>
      <c r="BC77" s="242">
        <v>0</v>
      </c>
      <c r="BD77" s="242">
        <v>22364024</v>
      </c>
      <c r="BE77" s="234">
        <v>21682498</v>
      </c>
      <c r="BF77" s="234">
        <v>2615957</v>
      </c>
      <c r="BG77" s="234">
        <v>95515</v>
      </c>
      <c r="BH77" s="234">
        <v>123</v>
      </c>
      <c r="BI77" s="234">
        <v>0</v>
      </c>
      <c r="BJ77" s="234">
        <v>2074081</v>
      </c>
      <c r="BK77" s="234">
        <v>1471</v>
      </c>
      <c r="BL77" s="242">
        <v>26469645</v>
      </c>
      <c r="BM77" s="242">
        <v>-4105621</v>
      </c>
      <c r="BN77" s="234">
        <v>0</v>
      </c>
      <c r="BO77" s="234">
        <v>0</v>
      </c>
      <c r="BP77" s="234">
        <v>-4105621</v>
      </c>
      <c r="BQ77" s="234">
        <v>0</v>
      </c>
      <c r="BR77" s="234">
        <v>0</v>
      </c>
      <c r="BS77" s="242">
        <v>-4105621</v>
      </c>
      <c r="BT77" s="243">
        <v>-0.184</v>
      </c>
      <c r="BU77" s="243">
        <v>0</v>
      </c>
      <c r="BV77" s="243">
        <v>-0.184</v>
      </c>
      <c r="BW77" s="244">
        <v>0</v>
      </c>
      <c r="BX77" s="245">
        <v>0</v>
      </c>
      <c r="BY77" s="245">
        <v>0</v>
      </c>
      <c r="BZ77" s="246">
        <f t="shared" si="4"/>
        <v>-41.982756635083497</v>
      </c>
      <c r="CA77" s="247">
        <v>0</v>
      </c>
      <c r="CB77" s="247">
        <v>0</v>
      </c>
      <c r="CC77" s="248">
        <v>0</v>
      </c>
      <c r="CD77" s="249">
        <v>0</v>
      </c>
      <c r="CE77" s="247" t="e">
        <f t="shared" si="5"/>
        <v>#DIV/0!</v>
      </c>
      <c r="CF77" s="242">
        <v>-4105621</v>
      </c>
      <c r="CG77" s="243">
        <v>-0.184</v>
      </c>
      <c r="CH77" s="243">
        <v>0</v>
      </c>
      <c r="CI77" s="243">
        <v>-0.184</v>
      </c>
    </row>
    <row r="78" spans="1:87" s="60" customFormat="1" ht="22.8" hidden="1" x14ac:dyDescent="0.3">
      <c r="A78" s="233">
        <v>12151</v>
      </c>
      <c r="B78" s="233" t="s">
        <v>185</v>
      </c>
      <c r="C78" s="233" t="s">
        <v>83</v>
      </c>
      <c r="D78" s="233">
        <v>14288</v>
      </c>
      <c r="E78" s="233">
        <v>2025</v>
      </c>
      <c r="F78" s="233" t="s">
        <v>276</v>
      </c>
      <c r="G78" s="233">
        <v>5</v>
      </c>
      <c r="H78" s="233">
        <v>12</v>
      </c>
      <c r="I78" s="233" t="s">
        <v>716</v>
      </c>
      <c r="J78" s="234">
        <v>0</v>
      </c>
      <c r="K78" s="234">
        <v>0</v>
      </c>
      <c r="L78" s="234">
        <v>0</v>
      </c>
      <c r="M78" s="234">
        <v>0</v>
      </c>
      <c r="N78" s="234">
        <v>0</v>
      </c>
      <c r="O78" s="234">
        <v>0</v>
      </c>
      <c r="P78" s="234">
        <v>0</v>
      </c>
      <c r="Q78" s="242">
        <v>0</v>
      </c>
      <c r="R78" s="234">
        <v>0</v>
      </c>
      <c r="S78" s="234">
        <v>0</v>
      </c>
      <c r="T78" s="234">
        <v>0</v>
      </c>
      <c r="U78" s="234">
        <v>0</v>
      </c>
      <c r="V78" s="234">
        <v>0</v>
      </c>
      <c r="W78" s="234">
        <v>0</v>
      </c>
      <c r="X78" s="242">
        <v>0</v>
      </c>
      <c r="Y78" s="234">
        <v>0</v>
      </c>
      <c r="Z78" s="242">
        <v>0</v>
      </c>
      <c r="AA78" s="242">
        <v>0</v>
      </c>
      <c r="AB78" s="234">
        <v>0</v>
      </c>
      <c r="AC78" s="234">
        <v>0</v>
      </c>
      <c r="AD78" s="234">
        <v>0</v>
      </c>
      <c r="AE78" s="234">
        <v>0</v>
      </c>
      <c r="AF78" s="242">
        <v>0</v>
      </c>
      <c r="AG78" s="234">
        <v>0</v>
      </c>
      <c r="AH78" s="234">
        <v>0</v>
      </c>
      <c r="AI78" s="234">
        <v>0</v>
      </c>
      <c r="AJ78" s="242">
        <v>0</v>
      </c>
      <c r="AK78" s="242">
        <v>0</v>
      </c>
      <c r="AL78" s="234">
        <v>0</v>
      </c>
      <c r="AM78" s="234">
        <v>0</v>
      </c>
      <c r="AN78" s="234">
        <v>0</v>
      </c>
      <c r="AO78" s="242">
        <v>0</v>
      </c>
      <c r="AP78" s="242">
        <v>0</v>
      </c>
      <c r="AQ78" s="234">
        <v>10647250</v>
      </c>
      <c r="AR78" s="234">
        <v>5537</v>
      </c>
      <c r="AS78" s="234">
        <v>11711237</v>
      </c>
      <c r="AT78" s="234">
        <v>0</v>
      </c>
      <c r="AU78" s="234">
        <v>0</v>
      </c>
      <c r="AV78" s="234">
        <v>0</v>
      </c>
      <c r="AW78" s="242">
        <v>22364024</v>
      </c>
      <c r="AX78" s="234">
        <v>0</v>
      </c>
      <c r="AY78" s="234">
        <v>0</v>
      </c>
      <c r="AZ78" s="234">
        <v>0</v>
      </c>
      <c r="BA78" s="234">
        <v>0</v>
      </c>
      <c r="BB78" s="234">
        <v>0</v>
      </c>
      <c r="BC78" s="242">
        <v>0</v>
      </c>
      <c r="BD78" s="242">
        <v>22364024</v>
      </c>
      <c r="BE78" s="234">
        <v>21682498</v>
      </c>
      <c r="BF78" s="234">
        <v>2615957</v>
      </c>
      <c r="BG78" s="234">
        <v>95515</v>
      </c>
      <c r="BH78" s="234">
        <v>123</v>
      </c>
      <c r="BI78" s="234">
        <v>0</v>
      </c>
      <c r="BJ78" s="234">
        <v>2074081</v>
      </c>
      <c r="BK78" s="234">
        <v>1471</v>
      </c>
      <c r="BL78" s="242">
        <v>26469645</v>
      </c>
      <c r="BM78" s="242">
        <v>-4105621</v>
      </c>
      <c r="BN78" s="234">
        <v>0</v>
      </c>
      <c r="BO78" s="234">
        <v>0</v>
      </c>
      <c r="BP78" s="234">
        <v>-4105621</v>
      </c>
      <c r="BQ78" s="234">
        <v>0</v>
      </c>
      <c r="BR78" s="234">
        <v>0</v>
      </c>
      <c r="BS78" s="242">
        <v>-4105621</v>
      </c>
      <c r="BT78" s="247">
        <v>-0.184</v>
      </c>
      <c r="BU78" s="247">
        <v>0</v>
      </c>
      <c r="BV78" s="247">
        <v>-0.184</v>
      </c>
      <c r="BW78" s="244">
        <v>0</v>
      </c>
      <c r="BX78" s="245">
        <v>0</v>
      </c>
      <c r="BY78" s="245">
        <v>0</v>
      </c>
      <c r="BZ78" s="246">
        <f t="shared" si="4"/>
        <v>-41.982756635083497</v>
      </c>
      <c r="CA78" s="247">
        <v>0</v>
      </c>
      <c r="CB78" s="247">
        <v>0</v>
      </c>
      <c r="CC78" s="248">
        <v>0</v>
      </c>
      <c r="CD78" s="248"/>
      <c r="CE78" s="247" t="e">
        <f t="shared" si="5"/>
        <v>#DIV/0!</v>
      </c>
      <c r="CF78" s="242">
        <v>0</v>
      </c>
      <c r="CG78" s="247">
        <v>0</v>
      </c>
      <c r="CH78" s="247">
        <v>-4105621</v>
      </c>
      <c r="CI78" s="247">
        <v>-0.184</v>
      </c>
    </row>
    <row r="79" spans="1:87" s="60" customFormat="1" ht="22.8" x14ac:dyDescent="0.3">
      <c r="A79" s="233">
        <v>6547</v>
      </c>
      <c r="B79" s="233" t="s">
        <v>184</v>
      </c>
      <c r="C79" s="233" t="s">
        <v>77</v>
      </c>
      <c r="D79" s="233">
        <v>14288</v>
      </c>
      <c r="E79" s="233">
        <v>2025</v>
      </c>
      <c r="F79" s="233" t="s">
        <v>276</v>
      </c>
      <c r="G79" s="233">
        <v>5</v>
      </c>
      <c r="H79" s="233">
        <v>12</v>
      </c>
      <c r="I79" s="233" t="s">
        <v>716</v>
      </c>
      <c r="J79" s="234">
        <v>56743</v>
      </c>
      <c r="K79" s="234">
        <v>0</v>
      </c>
      <c r="L79" s="234">
        <v>0</v>
      </c>
      <c r="M79" s="234">
        <v>41721882</v>
      </c>
      <c r="N79" s="234">
        <v>70341017</v>
      </c>
      <c r="O79" s="234">
        <v>0</v>
      </c>
      <c r="P79" s="234">
        <v>13685372</v>
      </c>
      <c r="Q79" s="242">
        <v>125805014</v>
      </c>
      <c r="R79" s="234">
        <v>4772306</v>
      </c>
      <c r="S79" s="234">
        <v>373750</v>
      </c>
      <c r="T79" s="234">
        <v>0</v>
      </c>
      <c r="U79" s="234">
        <v>0</v>
      </c>
      <c r="V79" s="234">
        <v>0</v>
      </c>
      <c r="W79" s="234">
        <v>0</v>
      </c>
      <c r="X79" s="242">
        <v>0</v>
      </c>
      <c r="Y79" s="234">
        <v>152008</v>
      </c>
      <c r="Z79" s="242">
        <v>5298064</v>
      </c>
      <c r="AA79" s="242">
        <v>131103078</v>
      </c>
      <c r="AB79" s="234">
        <v>2229522</v>
      </c>
      <c r="AC79" s="234">
        <v>5899230</v>
      </c>
      <c r="AD79" s="234">
        <v>32308225</v>
      </c>
      <c r="AE79" s="234">
        <v>22039492</v>
      </c>
      <c r="AF79" s="242">
        <v>62476469</v>
      </c>
      <c r="AG79" s="234">
        <v>97762707</v>
      </c>
      <c r="AH79" s="234">
        <v>0</v>
      </c>
      <c r="AI79" s="234">
        <v>938935</v>
      </c>
      <c r="AJ79" s="242">
        <v>98701642</v>
      </c>
      <c r="AK79" s="242">
        <v>161178111</v>
      </c>
      <c r="AL79" s="234">
        <v>-35221089</v>
      </c>
      <c r="AM79" s="234">
        <v>3924285</v>
      </c>
      <c r="AN79" s="234">
        <v>1221771</v>
      </c>
      <c r="AO79" s="242">
        <v>-30075033</v>
      </c>
      <c r="AP79" s="242">
        <v>131103078</v>
      </c>
      <c r="AQ79" s="234">
        <v>292708328</v>
      </c>
      <c r="AR79" s="234">
        <v>0</v>
      </c>
      <c r="AS79" s="234">
        <v>34482268</v>
      </c>
      <c r="AT79" s="234">
        <v>0</v>
      </c>
      <c r="AU79" s="234">
        <v>0</v>
      </c>
      <c r="AV79" s="234">
        <v>85005</v>
      </c>
      <c r="AW79" s="242">
        <v>327275601</v>
      </c>
      <c r="AX79" s="234">
        <v>280315</v>
      </c>
      <c r="AY79" s="234">
        <v>60135</v>
      </c>
      <c r="AZ79" s="234">
        <v>0</v>
      </c>
      <c r="BA79" s="234">
        <v>-100630</v>
      </c>
      <c r="BB79" s="234">
        <v>0</v>
      </c>
      <c r="BC79" s="242">
        <v>239820</v>
      </c>
      <c r="BD79" s="242">
        <v>327515421</v>
      </c>
      <c r="BE79" s="234">
        <v>107855350</v>
      </c>
      <c r="BF79" s="234">
        <v>12099825</v>
      </c>
      <c r="BG79" s="234">
        <v>7892555</v>
      </c>
      <c r="BH79" s="234">
        <v>4037018</v>
      </c>
      <c r="BI79" s="234">
        <v>12545422</v>
      </c>
      <c r="BJ79" s="234">
        <v>196071354</v>
      </c>
      <c r="BK79" s="234">
        <v>26813049</v>
      </c>
      <c r="BL79" s="242">
        <v>367314573</v>
      </c>
      <c r="BM79" s="242">
        <v>-39799152</v>
      </c>
      <c r="BN79" s="234">
        <v>0</v>
      </c>
      <c r="BO79" s="234">
        <v>-29403452</v>
      </c>
      <c r="BP79" s="234">
        <v>-69202604</v>
      </c>
      <c r="BQ79" s="234">
        <v>0</v>
      </c>
      <c r="BR79" s="234">
        <v>0</v>
      </c>
      <c r="BS79" s="242">
        <v>-69202604</v>
      </c>
      <c r="BT79" s="243">
        <v>-0.122</v>
      </c>
      <c r="BU79" s="243">
        <v>1E-3</v>
      </c>
      <c r="BV79" s="243">
        <v>-0.122</v>
      </c>
      <c r="BW79" s="244">
        <v>2</v>
      </c>
      <c r="BX79" s="245">
        <v>52</v>
      </c>
      <c r="BY79" s="245">
        <v>57</v>
      </c>
      <c r="BZ79" s="246">
        <f t="shared" si="4"/>
        <v>-2.7533458795067456</v>
      </c>
      <c r="CA79" s="247">
        <v>-0.19900000000000001</v>
      </c>
      <c r="CB79" s="247">
        <v>-0.22900000000000001</v>
      </c>
      <c r="CC79" s="248">
        <v>0</v>
      </c>
      <c r="CD79" s="249">
        <v>0</v>
      </c>
      <c r="CE79" s="247">
        <f t="shared" si="5"/>
        <v>1.5631624209018704</v>
      </c>
      <c r="CF79" s="242">
        <v>-39799152</v>
      </c>
      <c r="CG79" s="243">
        <v>-0.122</v>
      </c>
      <c r="CH79" s="243">
        <v>1E-3</v>
      </c>
      <c r="CI79" s="243">
        <v>-0.122</v>
      </c>
    </row>
    <row r="80" spans="1:87" s="60" customFormat="1" ht="22.8" x14ac:dyDescent="0.3">
      <c r="A80" s="233">
        <v>6547</v>
      </c>
      <c r="B80" s="233" t="s">
        <v>184</v>
      </c>
      <c r="C80" s="233" t="s">
        <v>77</v>
      </c>
      <c r="D80" s="233">
        <v>14288</v>
      </c>
      <c r="E80" s="233">
        <v>2025</v>
      </c>
      <c r="F80" s="233" t="s">
        <v>276</v>
      </c>
      <c r="G80" s="233">
        <v>5</v>
      </c>
      <c r="H80" s="233">
        <v>12</v>
      </c>
      <c r="I80" s="233" t="s">
        <v>716</v>
      </c>
      <c r="J80" s="234">
        <v>56743</v>
      </c>
      <c r="K80" s="234">
        <v>0</v>
      </c>
      <c r="L80" s="234">
        <v>0</v>
      </c>
      <c r="M80" s="234">
        <v>41721882</v>
      </c>
      <c r="N80" s="234">
        <v>70341017</v>
      </c>
      <c r="O80" s="234">
        <v>0</v>
      </c>
      <c r="P80" s="234">
        <v>13685372</v>
      </c>
      <c r="Q80" s="242">
        <v>125805014</v>
      </c>
      <c r="R80" s="234">
        <v>4772306</v>
      </c>
      <c r="S80" s="234">
        <v>373750</v>
      </c>
      <c r="T80" s="234">
        <v>0</v>
      </c>
      <c r="U80" s="234">
        <v>0</v>
      </c>
      <c r="V80" s="234">
        <v>0</v>
      </c>
      <c r="W80" s="234">
        <v>0</v>
      </c>
      <c r="X80" s="242">
        <v>0</v>
      </c>
      <c r="Y80" s="234">
        <v>152008</v>
      </c>
      <c r="Z80" s="242">
        <v>5298064</v>
      </c>
      <c r="AA80" s="242">
        <v>131103078</v>
      </c>
      <c r="AB80" s="234">
        <v>2229522</v>
      </c>
      <c r="AC80" s="234">
        <v>5899230</v>
      </c>
      <c r="AD80" s="234">
        <v>32308225</v>
      </c>
      <c r="AE80" s="234">
        <v>22039492</v>
      </c>
      <c r="AF80" s="242">
        <v>62476469</v>
      </c>
      <c r="AG80" s="234">
        <v>97762707</v>
      </c>
      <c r="AH80" s="234">
        <v>0</v>
      </c>
      <c r="AI80" s="234">
        <v>938935</v>
      </c>
      <c r="AJ80" s="242">
        <v>98701642</v>
      </c>
      <c r="AK80" s="242">
        <v>161178111</v>
      </c>
      <c r="AL80" s="234">
        <v>-35221089</v>
      </c>
      <c r="AM80" s="234">
        <v>3924285</v>
      </c>
      <c r="AN80" s="234">
        <v>1221771</v>
      </c>
      <c r="AO80" s="242">
        <v>-30075033</v>
      </c>
      <c r="AP80" s="242">
        <v>131103078</v>
      </c>
      <c r="AQ80" s="234">
        <v>292708328</v>
      </c>
      <c r="AR80" s="234">
        <v>0</v>
      </c>
      <c r="AS80" s="234">
        <v>34482268</v>
      </c>
      <c r="AT80" s="234">
        <v>0</v>
      </c>
      <c r="AU80" s="234">
        <v>0</v>
      </c>
      <c r="AV80" s="234">
        <v>85005</v>
      </c>
      <c r="AW80" s="242">
        <v>327275601</v>
      </c>
      <c r="AX80" s="234">
        <v>280315</v>
      </c>
      <c r="AY80" s="234">
        <v>60135</v>
      </c>
      <c r="AZ80" s="234">
        <v>0</v>
      </c>
      <c r="BA80" s="234">
        <v>-100630</v>
      </c>
      <c r="BB80" s="234">
        <v>0</v>
      </c>
      <c r="BC80" s="242">
        <v>239820</v>
      </c>
      <c r="BD80" s="242">
        <v>327515421</v>
      </c>
      <c r="BE80" s="234">
        <v>107855350</v>
      </c>
      <c r="BF80" s="234">
        <v>12099825</v>
      </c>
      <c r="BG80" s="234">
        <v>7892555</v>
      </c>
      <c r="BH80" s="234">
        <v>4037018</v>
      </c>
      <c r="BI80" s="234">
        <v>12545422</v>
      </c>
      <c r="BJ80" s="234">
        <v>196071354</v>
      </c>
      <c r="BK80" s="234">
        <v>26813049</v>
      </c>
      <c r="BL80" s="242">
        <v>367314573</v>
      </c>
      <c r="BM80" s="242">
        <v>-39799152</v>
      </c>
      <c r="BN80" s="234">
        <v>0</v>
      </c>
      <c r="BO80" s="234">
        <v>-29403452</v>
      </c>
      <c r="BP80" s="234">
        <v>-69202604</v>
      </c>
      <c r="BQ80" s="234">
        <v>0</v>
      </c>
      <c r="BR80" s="234">
        <v>0</v>
      </c>
      <c r="BS80" s="242">
        <v>-69202604</v>
      </c>
      <c r="BT80" s="247">
        <v>-0.122</v>
      </c>
      <c r="BU80" s="247">
        <v>1E-3</v>
      </c>
      <c r="BV80" s="247">
        <v>-0.122</v>
      </c>
      <c r="BW80" s="244">
        <v>2</v>
      </c>
      <c r="BX80" s="245">
        <v>52</v>
      </c>
      <c r="BY80" s="245">
        <v>57</v>
      </c>
      <c r="BZ80" s="246">
        <f t="shared" si="4"/>
        <v>-2.7533458795067456</v>
      </c>
      <c r="CA80" s="247">
        <v>-0.19900000000000001</v>
      </c>
      <c r="CB80" s="247">
        <v>-0.22900000000000001</v>
      </c>
      <c r="CC80" s="248">
        <v>0</v>
      </c>
      <c r="CD80" s="248"/>
      <c r="CE80" s="247">
        <f t="shared" si="5"/>
        <v>1.5631624209018704</v>
      </c>
      <c r="CF80" s="242">
        <v>0</v>
      </c>
      <c r="CG80" s="247">
        <v>0</v>
      </c>
      <c r="CH80" s="247">
        <v>-39799152</v>
      </c>
      <c r="CI80" s="247">
        <v>-0.122</v>
      </c>
    </row>
    <row r="81" spans="1:87" s="60" customFormat="1" ht="22.8" hidden="1" x14ac:dyDescent="0.3">
      <c r="A81" s="233">
        <v>14424</v>
      </c>
      <c r="B81" s="233" t="s">
        <v>186</v>
      </c>
      <c r="C81" s="233" t="s">
        <v>83</v>
      </c>
      <c r="D81" s="233">
        <v>14288</v>
      </c>
      <c r="E81" s="233">
        <v>2025</v>
      </c>
      <c r="F81" s="233" t="s">
        <v>276</v>
      </c>
      <c r="G81" s="233">
        <v>5</v>
      </c>
      <c r="H81" s="233">
        <v>12</v>
      </c>
      <c r="I81" s="233" t="s">
        <v>716</v>
      </c>
      <c r="J81" s="234">
        <v>0</v>
      </c>
      <c r="K81" s="234">
        <v>0</v>
      </c>
      <c r="L81" s="234">
        <v>0</v>
      </c>
      <c r="M81" s="234">
        <v>0</v>
      </c>
      <c r="N81" s="234">
        <v>0</v>
      </c>
      <c r="O81" s="234">
        <v>0</v>
      </c>
      <c r="P81" s="234">
        <v>0</v>
      </c>
      <c r="Q81" s="242">
        <v>0</v>
      </c>
      <c r="R81" s="234">
        <v>0</v>
      </c>
      <c r="S81" s="234">
        <v>0</v>
      </c>
      <c r="T81" s="234">
        <v>0</v>
      </c>
      <c r="U81" s="234">
        <v>0</v>
      </c>
      <c r="V81" s="234">
        <v>0</v>
      </c>
      <c r="W81" s="234">
        <v>0</v>
      </c>
      <c r="X81" s="242">
        <v>0</v>
      </c>
      <c r="Y81" s="234">
        <v>0</v>
      </c>
      <c r="Z81" s="242">
        <v>0</v>
      </c>
      <c r="AA81" s="242">
        <v>0</v>
      </c>
      <c r="AB81" s="234">
        <v>0</v>
      </c>
      <c r="AC81" s="234">
        <v>0</v>
      </c>
      <c r="AD81" s="234">
        <v>0</v>
      </c>
      <c r="AE81" s="234">
        <v>0</v>
      </c>
      <c r="AF81" s="242">
        <v>0</v>
      </c>
      <c r="AG81" s="234">
        <v>0</v>
      </c>
      <c r="AH81" s="234">
        <v>0</v>
      </c>
      <c r="AI81" s="234">
        <v>0</v>
      </c>
      <c r="AJ81" s="242">
        <v>0</v>
      </c>
      <c r="AK81" s="242">
        <v>0</v>
      </c>
      <c r="AL81" s="234">
        <v>0</v>
      </c>
      <c r="AM81" s="234">
        <v>0</v>
      </c>
      <c r="AN81" s="234">
        <v>0</v>
      </c>
      <c r="AO81" s="242">
        <v>0</v>
      </c>
      <c r="AP81" s="242">
        <v>0</v>
      </c>
      <c r="AQ81" s="234">
        <v>3041793</v>
      </c>
      <c r="AR81" s="234">
        <v>3796</v>
      </c>
      <c r="AS81" s="234">
        <v>1555526</v>
      </c>
      <c r="AT81" s="234">
        <v>0</v>
      </c>
      <c r="AU81" s="234">
        <v>0</v>
      </c>
      <c r="AV81" s="234">
        <v>0</v>
      </c>
      <c r="AW81" s="242">
        <v>4601115</v>
      </c>
      <c r="AX81" s="234">
        <v>0</v>
      </c>
      <c r="AY81" s="234">
        <v>0</v>
      </c>
      <c r="AZ81" s="234">
        <v>0</v>
      </c>
      <c r="BA81" s="234">
        <v>0</v>
      </c>
      <c r="BB81" s="234">
        <v>0</v>
      </c>
      <c r="BC81" s="242">
        <v>0</v>
      </c>
      <c r="BD81" s="242">
        <v>4601115</v>
      </c>
      <c r="BE81" s="234">
        <v>1877481</v>
      </c>
      <c r="BF81" s="234">
        <v>4480839</v>
      </c>
      <c r="BG81" s="234">
        <v>30799</v>
      </c>
      <c r="BH81" s="234">
        <v>-230</v>
      </c>
      <c r="BI81" s="234">
        <v>0</v>
      </c>
      <c r="BJ81" s="234">
        <v>3849080</v>
      </c>
      <c r="BK81" s="234">
        <v>4081011</v>
      </c>
      <c r="BL81" s="242">
        <v>14318980</v>
      </c>
      <c r="BM81" s="242">
        <v>-9717865</v>
      </c>
      <c r="BN81" s="234">
        <v>0</v>
      </c>
      <c r="BO81" s="234">
        <v>0</v>
      </c>
      <c r="BP81" s="234">
        <v>-9717865</v>
      </c>
      <c r="BQ81" s="234">
        <v>0</v>
      </c>
      <c r="BR81" s="234">
        <v>0</v>
      </c>
      <c r="BS81" s="242">
        <v>-9717865</v>
      </c>
      <c r="BT81" s="243">
        <v>-2.1120000000000001</v>
      </c>
      <c r="BU81" s="243">
        <v>0</v>
      </c>
      <c r="BV81" s="243">
        <v>-2.1120000000000001</v>
      </c>
      <c r="BW81" s="244">
        <v>0</v>
      </c>
      <c r="BX81" s="245">
        <v>0</v>
      </c>
      <c r="BY81" s="245">
        <v>0</v>
      </c>
      <c r="BZ81" s="246">
        <f t="shared" si="4"/>
        <v>-314.53280950680215</v>
      </c>
      <c r="CA81" s="247">
        <v>0</v>
      </c>
      <c r="CB81" s="247">
        <v>0</v>
      </c>
      <c r="CC81" s="248">
        <v>0</v>
      </c>
      <c r="CD81" s="249">
        <v>0</v>
      </c>
      <c r="CE81" s="247" t="e">
        <f t="shared" si="5"/>
        <v>#DIV/0!</v>
      </c>
      <c r="CF81" s="242">
        <v>-9717865</v>
      </c>
      <c r="CG81" s="243">
        <v>-2.1120000000000001</v>
      </c>
      <c r="CH81" s="243">
        <v>0</v>
      </c>
      <c r="CI81" s="243">
        <v>-2.1120000000000001</v>
      </c>
    </row>
    <row r="82" spans="1:87" s="60" customFormat="1" ht="22.8" hidden="1" x14ac:dyDescent="0.3">
      <c r="A82" s="233">
        <v>14424</v>
      </c>
      <c r="B82" s="233" t="s">
        <v>186</v>
      </c>
      <c r="C82" s="233" t="s">
        <v>83</v>
      </c>
      <c r="D82" s="233">
        <v>14288</v>
      </c>
      <c r="E82" s="233">
        <v>2025</v>
      </c>
      <c r="F82" s="233" t="s">
        <v>276</v>
      </c>
      <c r="G82" s="233">
        <v>5</v>
      </c>
      <c r="H82" s="233">
        <v>12</v>
      </c>
      <c r="I82" s="233" t="s">
        <v>716</v>
      </c>
      <c r="J82" s="234">
        <v>0</v>
      </c>
      <c r="K82" s="234">
        <v>0</v>
      </c>
      <c r="L82" s="234">
        <v>0</v>
      </c>
      <c r="M82" s="234">
        <v>0</v>
      </c>
      <c r="N82" s="234">
        <v>0</v>
      </c>
      <c r="O82" s="234">
        <v>0</v>
      </c>
      <c r="P82" s="234">
        <v>0</v>
      </c>
      <c r="Q82" s="242">
        <v>0</v>
      </c>
      <c r="R82" s="234">
        <v>0</v>
      </c>
      <c r="S82" s="234">
        <v>0</v>
      </c>
      <c r="T82" s="234">
        <v>0</v>
      </c>
      <c r="U82" s="234">
        <v>0</v>
      </c>
      <c r="V82" s="234">
        <v>0</v>
      </c>
      <c r="W82" s="234">
        <v>0</v>
      </c>
      <c r="X82" s="242">
        <v>0</v>
      </c>
      <c r="Y82" s="234">
        <v>0</v>
      </c>
      <c r="Z82" s="242">
        <v>0</v>
      </c>
      <c r="AA82" s="242">
        <v>0</v>
      </c>
      <c r="AB82" s="234">
        <v>0</v>
      </c>
      <c r="AC82" s="234">
        <v>0</v>
      </c>
      <c r="AD82" s="234">
        <v>0</v>
      </c>
      <c r="AE82" s="234">
        <v>0</v>
      </c>
      <c r="AF82" s="242">
        <v>0</v>
      </c>
      <c r="AG82" s="234">
        <v>0</v>
      </c>
      <c r="AH82" s="234">
        <v>0</v>
      </c>
      <c r="AI82" s="234">
        <v>0</v>
      </c>
      <c r="AJ82" s="242">
        <v>0</v>
      </c>
      <c r="AK82" s="242">
        <v>0</v>
      </c>
      <c r="AL82" s="234">
        <v>0</v>
      </c>
      <c r="AM82" s="234">
        <v>0</v>
      </c>
      <c r="AN82" s="234">
        <v>0</v>
      </c>
      <c r="AO82" s="242">
        <v>0</v>
      </c>
      <c r="AP82" s="242">
        <v>0</v>
      </c>
      <c r="AQ82" s="234">
        <v>3041793</v>
      </c>
      <c r="AR82" s="234">
        <v>3796</v>
      </c>
      <c r="AS82" s="234">
        <v>1555526</v>
      </c>
      <c r="AT82" s="234">
        <v>0</v>
      </c>
      <c r="AU82" s="234">
        <v>0</v>
      </c>
      <c r="AV82" s="234">
        <v>0</v>
      </c>
      <c r="AW82" s="242">
        <v>4601115</v>
      </c>
      <c r="AX82" s="234">
        <v>0</v>
      </c>
      <c r="AY82" s="234">
        <v>0</v>
      </c>
      <c r="AZ82" s="234">
        <v>0</v>
      </c>
      <c r="BA82" s="234">
        <v>0</v>
      </c>
      <c r="BB82" s="234">
        <v>0</v>
      </c>
      <c r="BC82" s="242">
        <v>0</v>
      </c>
      <c r="BD82" s="242">
        <v>4601115</v>
      </c>
      <c r="BE82" s="234">
        <v>1877481</v>
      </c>
      <c r="BF82" s="234">
        <v>4480839</v>
      </c>
      <c r="BG82" s="234">
        <v>30799</v>
      </c>
      <c r="BH82" s="234">
        <v>-230</v>
      </c>
      <c r="BI82" s="234">
        <v>0</v>
      </c>
      <c r="BJ82" s="234">
        <v>3849080</v>
      </c>
      <c r="BK82" s="234">
        <v>4081011</v>
      </c>
      <c r="BL82" s="242">
        <v>14318980</v>
      </c>
      <c r="BM82" s="242">
        <v>-9717865</v>
      </c>
      <c r="BN82" s="234">
        <v>0</v>
      </c>
      <c r="BO82" s="234">
        <v>0</v>
      </c>
      <c r="BP82" s="234">
        <v>-9717865</v>
      </c>
      <c r="BQ82" s="234">
        <v>0</v>
      </c>
      <c r="BR82" s="234">
        <v>0</v>
      </c>
      <c r="BS82" s="242">
        <v>-9717865</v>
      </c>
      <c r="BT82" s="247">
        <v>-2.1120000000000001</v>
      </c>
      <c r="BU82" s="247">
        <v>0</v>
      </c>
      <c r="BV82" s="247">
        <v>-2.1120000000000001</v>
      </c>
      <c r="BW82" s="244">
        <v>0</v>
      </c>
      <c r="BX82" s="245">
        <v>0</v>
      </c>
      <c r="BY82" s="245">
        <v>0</v>
      </c>
      <c r="BZ82" s="246">
        <f t="shared" si="4"/>
        <v>-314.53280950680215</v>
      </c>
      <c r="CA82" s="247">
        <v>0</v>
      </c>
      <c r="CB82" s="247">
        <v>0</v>
      </c>
      <c r="CC82" s="248">
        <v>0</v>
      </c>
      <c r="CD82" s="248"/>
      <c r="CE82" s="247" t="e">
        <f t="shared" si="5"/>
        <v>#DIV/0!</v>
      </c>
      <c r="CF82" s="242">
        <v>0</v>
      </c>
      <c r="CG82" s="247">
        <v>0</v>
      </c>
      <c r="CH82" s="247">
        <v>-9717865</v>
      </c>
      <c r="CI82" s="247">
        <v>-2.1120000000000001</v>
      </c>
    </row>
    <row r="83" spans="1:87" s="60" customFormat="1" ht="22.8" hidden="1" x14ac:dyDescent="0.3">
      <c r="A83" s="238">
        <v>14425</v>
      </c>
      <c r="B83" s="238" t="s">
        <v>187</v>
      </c>
      <c r="C83" s="238" t="s">
        <v>83</v>
      </c>
      <c r="D83" s="238">
        <v>14288</v>
      </c>
      <c r="E83" s="238">
        <v>2025</v>
      </c>
      <c r="F83" s="238" t="s">
        <v>276</v>
      </c>
      <c r="G83" s="238">
        <v>5</v>
      </c>
      <c r="H83" s="238">
        <v>12</v>
      </c>
      <c r="I83" s="238" t="s">
        <v>716</v>
      </c>
      <c r="J83" s="239">
        <v>0</v>
      </c>
      <c r="K83" s="239">
        <v>0</v>
      </c>
      <c r="L83" s="239">
        <v>0</v>
      </c>
      <c r="M83" s="239">
        <v>0</v>
      </c>
      <c r="N83" s="239">
        <v>0</v>
      </c>
      <c r="O83" s="239">
        <v>0</v>
      </c>
      <c r="P83" s="239">
        <v>0</v>
      </c>
      <c r="Q83" s="242">
        <v>0</v>
      </c>
      <c r="R83" s="239">
        <v>0</v>
      </c>
      <c r="S83" s="239">
        <v>0</v>
      </c>
      <c r="T83" s="239">
        <v>0</v>
      </c>
      <c r="U83" s="239">
        <v>0</v>
      </c>
      <c r="V83" s="239">
        <v>0</v>
      </c>
      <c r="W83" s="239">
        <v>0</v>
      </c>
      <c r="X83" s="242">
        <v>0</v>
      </c>
      <c r="Y83" s="239">
        <v>0</v>
      </c>
      <c r="Z83" s="242">
        <v>0</v>
      </c>
      <c r="AA83" s="242">
        <v>0</v>
      </c>
      <c r="AB83" s="239">
        <v>0</v>
      </c>
      <c r="AC83" s="239">
        <v>0</v>
      </c>
      <c r="AD83" s="239">
        <v>0</v>
      </c>
      <c r="AE83" s="239">
        <v>0</v>
      </c>
      <c r="AF83" s="242">
        <v>0</v>
      </c>
      <c r="AG83" s="239">
        <v>0</v>
      </c>
      <c r="AH83" s="239">
        <v>0</v>
      </c>
      <c r="AI83" s="239">
        <v>0</v>
      </c>
      <c r="AJ83" s="242">
        <v>0</v>
      </c>
      <c r="AK83" s="242">
        <v>0</v>
      </c>
      <c r="AL83" s="239">
        <v>0</v>
      </c>
      <c r="AM83" s="239">
        <v>0</v>
      </c>
      <c r="AN83" s="239">
        <v>0</v>
      </c>
      <c r="AO83" s="242">
        <v>0</v>
      </c>
      <c r="AP83" s="242">
        <v>0</v>
      </c>
      <c r="AQ83" s="239">
        <v>0</v>
      </c>
      <c r="AR83" s="239">
        <v>1275</v>
      </c>
      <c r="AS83" s="239">
        <v>30238</v>
      </c>
      <c r="AT83" s="239">
        <v>0</v>
      </c>
      <c r="AU83" s="239">
        <v>0</v>
      </c>
      <c r="AV83" s="239">
        <v>0</v>
      </c>
      <c r="AW83" s="242">
        <v>31513</v>
      </c>
      <c r="AX83" s="239">
        <v>0</v>
      </c>
      <c r="AY83" s="239">
        <v>0</v>
      </c>
      <c r="AZ83" s="239">
        <v>0</v>
      </c>
      <c r="BA83" s="239">
        <v>0</v>
      </c>
      <c r="BB83" s="239">
        <v>0</v>
      </c>
      <c r="BC83" s="242">
        <v>0</v>
      </c>
      <c r="BD83" s="242">
        <v>31513</v>
      </c>
      <c r="BE83" s="239">
        <v>0</v>
      </c>
      <c r="BF83" s="239">
        <v>-14973</v>
      </c>
      <c r="BG83" s="239">
        <v>0</v>
      </c>
      <c r="BH83" s="239">
        <v>0</v>
      </c>
      <c r="BI83" s="239">
        <v>0</v>
      </c>
      <c r="BJ83" s="239">
        <v>382647</v>
      </c>
      <c r="BK83" s="239">
        <v>0</v>
      </c>
      <c r="BL83" s="242">
        <v>367674</v>
      </c>
      <c r="BM83" s="242">
        <v>-336161</v>
      </c>
      <c r="BN83" s="239">
        <v>0</v>
      </c>
      <c r="BO83" s="239">
        <v>0</v>
      </c>
      <c r="BP83" s="239">
        <v>-336161</v>
      </c>
      <c r="BQ83" s="239">
        <v>0</v>
      </c>
      <c r="BR83" s="239">
        <v>0</v>
      </c>
      <c r="BS83" s="242">
        <v>-336161</v>
      </c>
      <c r="BT83" s="243">
        <v>-10.667</v>
      </c>
      <c r="BU83" s="243">
        <v>0</v>
      </c>
      <c r="BV83" s="243">
        <v>-10.667</v>
      </c>
      <c r="BW83" s="244">
        <v>0</v>
      </c>
      <c r="BX83" s="245">
        <v>0</v>
      </c>
      <c r="BY83" s="245">
        <v>0</v>
      </c>
      <c r="BZ83" s="246" t="e">
        <f t="shared" si="4"/>
        <v>#DIV/0!</v>
      </c>
      <c r="CA83" s="247">
        <v>0</v>
      </c>
      <c r="CB83" s="247">
        <v>0</v>
      </c>
      <c r="CC83" s="248">
        <v>0</v>
      </c>
      <c r="CD83" s="249">
        <v>0</v>
      </c>
      <c r="CE83" s="247" t="e">
        <f t="shared" si="5"/>
        <v>#DIV/0!</v>
      </c>
      <c r="CF83" s="242">
        <v>-336161</v>
      </c>
      <c r="CG83" s="243">
        <v>-10.667</v>
      </c>
      <c r="CH83" s="243">
        <v>0</v>
      </c>
      <c r="CI83" s="243">
        <v>-10.667</v>
      </c>
    </row>
    <row r="84" spans="1:87" s="60" customFormat="1" ht="22.8" hidden="1" x14ac:dyDescent="0.3">
      <c r="A84" s="238">
        <v>14425</v>
      </c>
      <c r="B84" s="238" t="s">
        <v>187</v>
      </c>
      <c r="C84" s="238" t="s">
        <v>83</v>
      </c>
      <c r="D84" s="238">
        <v>14288</v>
      </c>
      <c r="E84" s="238">
        <v>2025</v>
      </c>
      <c r="F84" s="238" t="s">
        <v>276</v>
      </c>
      <c r="G84" s="238">
        <v>5</v>
      </c>
      <c r="H84" s="238">
        <v>12</v>
      </c>
      <c r="I84" s="238" t="s">
        <v>716</v>
      </c>
      <c r="J84" s="239">
        <v>0</v>
      </c>
      <c r="K84" s="239">
        <v>0</v>
      </c>
      <c r="L84" s="239">
        <v>0</v>
      </c>
      <c r="M84" s="239">
        <v>0</v>
      </c>
      <c r="N84" s="239">
        <v>0</v>
      </c>
      <c r="O84" s="239">
        <v>0</v>
      </c>
      <c r="P84" s="239">
        <v>0</v>
      </c>
      <c r="Q84" s="242">
        <v>0</v>
      </c>
      <c r="R84" s="239">
        <v>0</v>
      </c>
      <c r="S84" s="239">
        <v>0</v>
      </c>
      <c r="T84" s="239">
        <v>0</v>
      </c>
      <c r="U84" s="239">
        <v>0</v>
      </c>
      <c r="V84" s="239">
        <v>0</v>
      </c>
      <c r="W84" s="239">
        <v>0</v>
      </c>
      <c r="X84" s="242">
        <v>0</v>
      </c>
      <c r="Y84" s="239">
        <v>0</v>
      </c>
      <c r="Z84" s="242">
        <v>0</v>
      </c>
      <c r="AA84" s="242">
        <v>0</v>
      </c>
      <c r="AB84" s="239">
        <v>0</v>
      </c>
      <c r="AC84" s="239">
        <v>0</v>
      </c>
      <c r="AD84" s="239">
        <v>0</v>
      </c>
      <c r="AE84" s="239">
        <v>0</v>
      </c>
      <c r="AF84" s="242">
        <v>0</v>
      </c>
      <c r="AG84" s="239">
        <v>0</v>
      </c>
      <c r="AH84" s="239">
        <v>0</v>
      </c>
      <c r="AI84" s="239">
        <v>0</v>
      </c>
      <c r="AJ84" s="242">
        <v>0</v>
      </c>
      <c r="AK84" s="242">
        <v>0</v>
      </c>
      <c r="AL84" s="239">
        <v>0</v>
      </c>
      <c r="AM84" s="239">
        <v>0</v>
      </c>
      <c r="AN84" s="239">
        <v>0</v>
      </c>
      <c r="AO84" s="242">
        <v>0</v>
      </c>
      <c r="AP84" s="242">
        <v>0</v>
      </c>
      <c r="AQ84" s="239">
        <v>0</v>
      </c>
      <c r="AR84" s="239">
        <v>1275</v>
      </c>
      <c r="AS84" s="239">
        <v>30238</v>
      </c>
      <c r="AT84" s="239">
        <v>0</v>
      </c>
      <c r="AU84" s="239">
        <v>0</v>
      </c>
      <c r="AV84" s="239">
        <v>0</v>
      </c>
      <c r="AW84" s="242">
        <v>31513</v>
      </c>
      <c r="AX84" s="239">
        <v>0</v>
      </c>
      <c r="AY84" s="239">
        <v>0</v>
      </c>
      <c r="AZ84" s="239">
        <v>0</v>
      </c>
      <c r="BA84" s="239">
        <v>0</v>
      </c>
      <c r="BB84" s="239">
        <v>0</v>
      </c>
      <c r="BC84" s="242">
        <v>0</v>
      </c>
      <c r="BD84" s="242">
        <v>31513</v>
      </c>
      <c r="BE84" s="239">
        <v>0</v>
      </c>
      <c r="BF84" s="239">
        <v>-14973</v>
      </c>
      <c r="BG84" s="239">
        <v>0</v>
      </c>
      <c r="BH84" s="239">
        <v>0</v>
      </c>
      <c r="BI84" s="239">
        <v>0</v>
      </c>
      <c r="BJ84" s="239">
        <v>382647</v>
      </c>
      <c r="BK84" s="239">
        <v>0</v>
      </c>
      <c r="BL84" s="242">
        <v>367674</v>
      </c>
      <c r="BM84" s="242">
        <v>-336161</v>
      </c>
      <c r="BN84" s="239">
        <v>0</v>
      </c>
      <c r="BO84" s="239">
        <v>0</v>
      </c>
      <c r="BP84" s="239">
        <v>-336161</v>
      </c>
      <c r="BQ84" s="239">
        <v>0</v>
      </c>
      <c r="BR84" s="239">
        <v>0</v>
      </c>
      <c r="BS84" s="242">
        <v>-336161</v>
      </c>
      <c r="BT84" s="247">
        <v>-10.667</v>
      </c>
      <c r="BU84" s="247">
        <v>0</v>
      </c>
      <c r="BV84" s="247">
        <v>-10.667</v>
      </c>
      <c r="BW84" s="244">
        <v>0</v>
      </c>
      <c r="BX84" s="245">
        <v>0</v>
      </c>
      <c r="BY84" s="245">
        <v>0</v>
      </c>
      <c r="BZ84" s="246" t="e">
        <f t="shared" si="4"/>
        <v>#DIV/0!</v>
      </c>
      <c r="CA84" s="247">
        <v>0</v>
      </c>
      <c r="CB84" s="247">
        <v>0</v>
      </c>
      <c r="CC84" s="248">
        <v>0</v>
      </c>
      <c r="CD84" s="248"/>
      <c r="CE84" s="247" t="e">
        <f t="shared" si="5"/>
        <v>#DIV/0!</v>
      </c>
      <c r="CF84" s="242">
        <v>0</v>
      </c>
      <c r="CG84" s="247">
        <v>0</v>
      </c>
      <c r="CH84" s="247">
        <v>-336161</v>
      </c>
      <c r="CI84" s="247">
        <v>-10.667</v>
      </c>
    </row>
    <row r="85" spans="1:87" s="60" customFormat="1" ht="22.8" x14ac:dyDescent="0.3">
      <c r="A85" s="238">
        <v>97</v>
      </c>
      <c r="B85" s="238" t="s">
        <v>159</v>
      </c>
      <c r="C85" s="238" t="s">
        <v>77</v>
      </c>
      <c r="D85" s="238">
        <v>6755</v>
      </c>
      <c r="E85" s="238">
        <v>2025</v>
      </c>
      <c r="F85" s="238" t="s">
        <v>275</v>
      </c>
      <c r="G85" s="238">
        <v>5</v>
      </c>
      <c r="H85" s="238">
        <v>12</v>
      </c>
      <c r="I85" s="238" t="s">
        <v>715</v>
      </c>
      <c r="J85" s="239">
        <v>19257000</v>
      </c>
      <c r="K85" s="239">
        <v>489000</v>
      </c>
      <c r="L85" s="239">
        <v>0</v>
      </c>
      <c r="M85" s="239">
        <v>24460000</v>
      </c>
      <c r="N85" s="239">
        <v>95124000</v>
      </c>
      <c r="O85" s="239">
        <v>0</v>
      </c>
      <c r="P85" s="239">
        <v>7908000</v>
      </c>
      <c r="Q85" s="242">
        <v>147238000</v>
      </c>
      <c r="R85" s="239">
        <v>4328000</v>
      </c>
      <c r="S85" s="239">
        <v>0</v>
      </c>
      <c r="T85" s="239">
        <v>0</v>
      </c>
      <c r="U85" s="239">
        <v>0</v>
      </c>
      <c r="V85" s="239">
        <v>224365000</v>
      </c>
      <c r="W85" s="239">
        <v>106720000</v>
      </c>
      <c r="X85" s="242">
        <v>117645000</v>
      </c>
      <c r="Y85" s="239">
        <v>46370000</v>
      </c>
      <c r="Z85" s="242">
        <v>168343000</v>
      </c>
      <c r="AA85" s="242">
        <v>315581000</v>
      </c>
      <c r="AB85" s="239">
        <v>0</v>
      </c>
      <c r="AC85" s="239">
        <v>468000</v>
      </c>
      <c r="AD85" s="239">
        <v>128124000</v>
      </c>
      <c r="AE85" s="239">
        <v>27356000</v>
      </c>
      <c r="AF85" s="242">
        <v>155948000</v>
      </c>
      <c r="AG85" s="239">
        <v>0</v>
      </c>
      <c r="AH85" s="239">
        <v>80489000</v>
      </c>
      <c r="AI85" s="239">
        <v>15227000</v>
      </c>
      <c r="AJ85" s="242">
        <v>95716000</v>
      </c>
      <c r="AK85" s="242">
        <v>251664000</v>
      </c>
      <c r="AL85" s="239">
        <v>63824000</v>
      </c>
      <c r="AM85" s="239">
        <v>93000</v>
      </c>
      <c r="AN85" s="239">
        <v>0</v>
      </c>
      <c r="AO85" s="242">
        <v>63917000</v>
      </c>
      <c r="AP85" s="242">
        <v>315581000</v>
      </c>
      <c r="AQ85" s="239">
        <v>281939000</v>
      </c>
      <c r="AR85" s="239">
        <v>0</v>
      </c>
      <c r="AS85" s="239">
        <v>6665000</v>
      </c>
      <c r="AT85" s="239">
        <v>0</v>
      </c>
      <c r="AU85" s="239">
        <v>0</v>
      </c>
      <c r="AV85" s="239">
        <v>251000</v>
      </c>
      <c r="AW85" s="242">
        <v>288855000</v>
      </c>
      <c r="AX85" s="239">
        <v>67000</v>
      </c>
      <c r="AY85" s="239">
        <v>548000</v>
      </c>
      <c r="AZ85" s="239">
        <v>0</v>
      </c>
      <c r="BA85" s="239">
        <v>2733000</v>
      </c>
      <c r="BB85" s="239">
        <v>0</v>
      </c>
      <c r="BC85" s="242">
        <v>3348000</v>
      </c>
      <c r="BD85" s="242">
        <v>292203000</v>
      </c>
      <c r="BE85" s="239">
        <v>164924000</v>
      </c>
      <c r="BF85" s="239">
        <v>0</v>
      </c>
      <c r="BG85" s="239">
        <v>10002000</v>
      </c>
      <c r="BH85" s="239">
        <v>1970000</v>
      </c>
      <c r="BI85" s="239">
        <v>485000</v>
      </c>
      <c r="BJ85" s="239">
        <v>112673000</v>
      </c>
      <c r="BK85" s="239">
        <v>0</v>
      </c>
      <c r="BL85" s="242">
        <v>290054000</v>
      </c>
      <c r="BM85" s="242">
        <v>2149000</v>
      </c>
      <c r="BN85" s="239">
        <v>60810000</v>
      </c>
      <c r="BO85" s="239">
        <v>792000</v>
      </c>
      <c r="BP85" s="239">
        <v>63751000</v>
      </c>
      <c r="BQ85" s="239">
        <v>0</v>
      </c>
      <c r="BR85" s="239">
        <v>0</v>
      </c>
      <c r="BS85" s="242">
        <v>63751000</v>
      </c>
      <c r="BT85" s="243">
        <v>-4.0000000000000001E-3</v>
      </c>
      <c r="BU85" s="243">
        <v>1.0999999999999999E-2</v>
      </c>
      <c r="BV85" s="243">
        <v>7.0000000000000001E-3</v>
      </c>
      <c r="BW85" s="244">
        <v>0.9</v>
      </c>
      <c r="BX85" s="245">
        <v>32</v>
      </c>
      <c r="BY85" s="245">
        <v>203</v>
      </c>
      <c r="BZ85" s="246">
        <f t="shared" si="4"/>
        <v>1.4118176364727055</v>
      </c>
      <c r="CA85" s="247">
        <v>7.8E-2</v>
      </c>
      <c r="CB85" s="247">
        <v>0.20300000000000001</v>
      </c>
      <c r="CC85" s="248">
        <v>11</v>
      </c>
      <c r="CD85" s="249">
        <v>26</v>
      </c>
      <c r="CE85" s="247">
        <f t="shared" si="5"/>
        <v>0</v>
      </c>
      <c r="CF85" s="242">
        <v>2149000</v>
      </c>
      <c r="CG85" s="243">
        <v>-4.0000000000000001E-3</v>
      </c>
      <c r="CH85" s="243">
        <v>1.0999999999999999E-2</v>
      </c>
      <c r="CI85" s="243">
        <v>7.0000000000000001E-3</v>
      </c>
    </row>
    <row r="86" spans="1:87" s="60" customFormat="1" ht="22.8" x14ac:dyDescent="0.3">
      <c r="A86" s="233">
        <v>97</v>
      </c>
      <c r="B86" s="233" t="s">
        <v>159</v>
      </c>
      <c r="C86" s="233" t="s">
        <v>77</v>
      </c>
      <c r="D86" s="233">
        <v>6755</v>
      </c>
      <c r="E86" s="233">
        <v>2025</v>
      </c>
      <c r="F86" s="233" t="s">
        <v>275</v>
      </c>
      <c r="G86" s="233">
        <v>5</v>
      </c>
      <c r="H86" s="233">
        <v>12</v>
      </c>
      <c r="I86" s="233" t="s">
        <v>715</v>
      </c>
      <c r="J86" s="234">
        <v>19257000</v>
      </c>
      <c r="K86" s="234">
        <v>489000</v>
      </c>
      <c r="L86" s="234">
        <v>0</v>
      </c>
      <c r="M86" s="234">
        <v>24460000</v>
      </c>
      <c r="N86" s="234">
        <v>95124000</v>
      </c>
      <c r="O86" s="234">
        <v>0</v>
      </c>
      <c r="P86" s="234">
        <v>7908000</v>
      </c>
      <c r="Q86" s="242">
        <v>147238000</v>
      </c>
      <c r="R86" s="234">
        <v>4328000</v>
      </c>
      <c r="S86" s="234">
        <v>0</v>
      </c>
      <c r="T86" s="234">
        <v>0</v>
      </c>
      <c r="U86" s="234">
        <v>0</v>
      </c>
      <c r="V86" s="234">
        <v>224365000</v>
      </c>
      <c r="W86" s="234">
        <v>106720000</v>
      </c>
      <c r="X86" s="242">
        <v>117645000</v>
      </c>
      <c r="Y86" s="234">
        <v>46370000</v>
      </c>
      <c r="Z86" s="242">
        <v>168343000</v>
      </c>
      <c r="AA86" s="242">
        <v>315581000</v>
      </c>
      <c r="AB86" s="234">
        <v>0</v>
      </c>
      <c r="AC86" s="234">
        <v>468000</v>
      </c>
      <c r="AD86" s="234">
        <v>128124000</v>
      </c>
      <c r="AE86" s="234">
        <v>27356000</v>
      </c>
      <c r="AF86" s="242">
        <v>155948000</v>
      </c>
      <c r="AG86" s="234">
        <v>0</v>
      </c>
      <c r="AH86" s="234">
        <v>80489000</v>
      </c>
      <c r="AI86" s="234">
        <v>15227000</v>
      </c>
      <c r="AJ86" s="242">
        <v>95716000</v>
      </c>
      <c r="AK86" s="242">
        <v>251664000</v>
      </c>
      <c r="AL86" s="234">
        <v>63824000</v>
      </c>
      <c r="AM86" s="234">
        <v>93000</v>
      </c>
      <c r="AN86" s="234">
        <v>0</v>
      </c>
      <c r="AO86" s="242">
        <v>63917000</v>
      </c>
      <c r="AP86" s="242">
        <v>315581000</v>
      </c>
      <c r="AQ86" s="234">
        <v>281939000</v>
      </c>
      <c r="AR86" s="234">
        <v>0</v>
      </c>
      <c r="AS86" s="234">
        <v>6665000</v>
      </c>
      <c r="AT86" s="234">
        <v>0</v>
      </c>
      <c r="AU86" s="234">
        <v>0</v>
      </c>
      <c r="AV86" s="234">
        <v>251000</v>
      </c>
      <c r="AW86" s="242">
        <v>288855000</v>
      </c>
      <c r="AX86" s="234">
        <v>67000</v>
      </c>
      <c r="AY86" s="234">
        <v>548000</v>
      </c>
      <c r="AZ86" s="234">
        <v>0</v>
      </c>
      <c r="BA86" s="234">
        <v>2733000</v>
      </c>
      <c r="BB86" s="234">
        <v>0</v>
      </c>
      <c r="BC86" s="242">
        <v>3348000</v>
      </c>
      <c r="BD86" s="242">
        <v>292203000</v>
      </c>
      <c r="BE86" s="234">
        <v>164924000</v>
      </c>
      <c r="BF86" s="234">
        <v>0</v>
      </c>
      <c r="BG86" s="234">
        <v>10002000</v>
      </c>
      <c r="BH86" s="234">
        <v>1970000</v>
      </c>
      <c r="BI86" s="234">
        <v>485000</v>
      </c>
      <c r="BJ86" s="234">
        <v>112673000</v>
      </c>
      <c r="BK86" s="234">
        <v>0</v>
      </c>
      <c r="BL86" s="242">
        <v>290054000</v>
      </c>
      <c r="BM86" s="242">
        <v>2149000</v>
      </c>
      <c r="BN86" s="234">
        <v>60810000</v>
      </c>
      <c r="BO86" s="234">
        <v>792000</v>
      </c>
      <c r="BP86" s="234">
        <v>63751000</v>
      </c>
      <c r="BQ86" s="234">
        <v>0</v>
      </c>
      <c r="BR86" s="234">
        <v>0</v>
      </c>
      <c r="BS86" s="242">
        <v>63751000</v>
      </c>
      <c r="BT86" s="247">
        <v>-4.0000000000000001E-3</v>
      </c>
      <c r="BU86" s="247">
        <v>1.0999999999999999E-2</v>
      </c>
      <c r="BV86" s="247">
        <v>7.0000000000000001E-3</v>
      </c>
      <c r="BW86" s="244">
        <v>0.9</v>
      </c>
      <c r="BX86" s="245">
        <v>32</v>
      </c>
      <c r="BY86" s="245">
        <v>203</v>
      </c>
      <c r="BZ86" s="246">
        <f t="shared" si="4"/>
        <v>1.4118176364727055</v>
      </c>
      <c r="CA86" s="247">
        <v>7.8E-2</v>
      </c>
      <c r="CB86" s="247">
        <v>0.20300000000000001</v>
      </c>
      <c r="CC86" s="248">
        <v>11</v>
      </c>
      <c r="CD86" s="248"/>
      <c r="CE86" s="247">
        <f t="shared" si="5"/>
        <v>0</v>
      </c>
      <c r="CF86" s="242">
        <v>2149000</v>
      </c>
      <c r="CG86" s="247">
        <v>-4.0000000000000001E-3</v>
      </c>
      <c r="CH86" s="247">
        <v>1.0999999999999999E-2</v>
      </c>
      <c r="CI86" s="247">
        <v>7.0000000000000001E-3</v>
      </c>
    </row>
    <row r="87" spans="1:87" s="60" customFormat="1" ht="22.8" hidden="1" x14ac:dyDescent="0.3">
      <c r="A87" s="233">
        <v>8750</v>
      </c>
      <c r="B87" s="233" t="s">
        <v>161</v>
      </c>
      <c r="C87" s="233" t="s">
        <v>83</v>
      </c>
      <c r="D87" s="233">
        <v>6755</v>
      </c>
      <c r="E87" s="233">
        <v>2025</v>
      </c>
      <c r="F87" s="233" t="s">
        <v>275</v>
      </c>
      <c r="G87" s="233">
        <v>5</v>
      </c>
      <c r="H87" s="233">
        <v>12</v>
      </c>
      <c r="I87" s="233" t="s">
        <v>715</v>
      </c>
      <c r="J87" s="234">
        <v>0</v>
      </c>
      <c r="K87" s="234">
        <v>0</v>
      </c>
      <c r="L87" s="234">
        <v>0</v>
      </c>
      <c r="M87" s="234">
        <v>0</v>
      </c>
      <c r="N87" s="234">
        <v>0</v>
      </c>
      <c r="O87" s="234">
        <v>0</v>
      </c>
      <c r="P87" s="234">
        <v>0</v>
      </c>
      <c r="Q87" s="242">
        <v>0</v>
      </c>
      <c r="R87" s="234">
        <v>0</v>
      </c>
      <c r="S87" s="234">
        <v>0</v>
      </c>
      <c r="T87" s="234">
        <v>0</v>
      </c>
      <c r="U87" s="234">
        <v>0</v>
      </c>
      <c r="V87" s="234">
        <v>0</v>
      </c>
      <c r="W87" s="234">
        <v>0</v>
      </c>
      <c r="X87" s="242">
        <v>0</v>
      </c>
      <c r="Y87" s="234">
        <v>0</v>
      </c>
      <c r="Z87" s="242">
        <v>0</v>
      </c>
      <c r="AA87" s="242">
        <v>0</v>
      </c>
      <c r="AB87" s="234">
        <v>0</v>
      </c>
      <c r="AC87" s="234">
        <v>0</v>
      </c>
      <c r="AD87" s="234">
        <v>0</v>
      </c>
      <c r="AE87" s="234">
        <v>0</v>
      </c>
      <c r="AF87" s="242">
        <v>0</v>
      </c>
      <c r="AG87" s="234">
        <v>0</v>
      </c>
      <c r="AH87" s="234">
        <v>0</v>
      </c>
      <c r="AI87" s="234">
        <v>0</v>
      </c>
      <c r="AJ87" s="242">
        <v>0</v>
      </c>
      <c r="AK87" s="242">
        <v>0</v>
      </c>
      <c r="AL87" s="234">
        <v>0</v>
      </c>
      <c r="AM87" s="234">
        <v>0</v>
      </c>
      <c r="AN87" s="234">
        <v>0</v>
      </c>
      <c r="AO87" s="242">
        <v>0</v>
      </c>
      <c r="AP87" s="242">
        <v>0</v>
      </c>
      <c r="AQ87" s="234">
        <v>103059000</v>
      </c>
      <c r="AR87" s="234">
        <v>0</v>
      </c>
      <c r="AS87" s="234">
        <v>18434000</v>
      </c>
      <c r="AT87" s="234">
        <v>0</v>
      </c>
      <c r="AU87" s="234">
        <v>0</v>
      </c>
      <c r="AV87" s="234">
        <v>0</v>
      </c>
      <c r="AW87" s="242">
        <v>121493000</v>
      </c>
      <c r="AX87" s="234">
        <v>0</v>
      </c>
      <c r="AY87" s="234">
        <v>0</v>
      </c>
      <c r="AZ87" s="234">
        <v>0</v>
      </c>
      <c r="BA87" s="234">
        <v>0</v>
      </c>
      <c r="BB87" s="234">
        <v>0</v>
      </c>
      <c r="BC87" s="242">
        <v>0</v>
      </c>
      <c r="BD87" s="242">
        <v>121493000</v>
      </c>
      <c r="BE87" s="234">
        <v>94259000</v>
      </c>
      <c r="BF87" s="234">
        <v>0</v>
      </c>
      <c r="BG87" s="234">
        <v>948000</v>
      </c>
      <c r="BH87" s="234">
        <v>550000</v>
      </c>
      <c r="BI87" s="234">
        <v>0</v>
      </c>
      <c r="BJ87" s="234">
        <v>35134000</v>
      </c>
      <c r="BK87" s="234">
        <v>0</v>
      </c>
      <c r="BL87" s="242">
        <v>130891000</v>
      </c>
      <c r="BM87" s="242">
        <v>-9398000</v>
      </c>
      <c r="BN87" s="234">
        <v>10249000</v>
      </c>
      <c r="BO87" s="234">
        <v>0</v>
      </c>
      <c r="BP87" s="234">
        <v>851000</v>
      </c>
      <c r="BQ87" s="234">
        <v>0</v>
      </c>
      <c r="BR87" s="234">
        <v>0</v>
      </c>
      <c r="BS87" s="242">
        <v>851000</v>
      </c>
      <c r="BT87" s="243">
        <v>-7.6999999999999999E-2</v>
      </c>
      <c r="BU87" s="243">
        <v>0</v>
      </c>
      <c r="BV87" s="243">
        <v>-7.6999999999999999E-2</v>
      </c>
      <c r="BW87" s="244">
        <v>0</v>
      </c>
      <c r="BX87" s="245">
        <v>0</v>
      </c>
      <c r="BY87" s="245">
        <v>0</v>
      </c>
      <c r="BZ87" s="246">
        <f t="shared" si="4"/>
        <v>-8.3333333333333339</v>
      </c>
      <c r="CA87" s="247">
        <v>0</v>
      </c>
      <c r="CB87" s="247">
        <v>0</v>
      </c>
      <c r="CC87" s="248">
        <v>0</v>
      </c>
      <c r="CD87" s="249">
        <v>0</v>
      </c>
      <c r="CE87" s="247" t="e">
        <f t="shared" si="5"/>
        <v>#DIV/0!</v>
      </c>
      <c r="CF87" s="242">
        <v>-9398000</v>
      </c>
      <c r="CG87" s="243">
        <v>-7.6999999999999999E-2</v>
      </c>
      <c r="CH87" s="243">
        <v>0</v>
      </c>
      <c r="CI87" s="243">
        <v>-7.6999999999999999E-2</v>
      </c>
    </row>
    <row r="88" spans="1:87" s="60" customFormat="1" ht="22.8" hidden="1" x14ac:dyDescent="0.3">
      <c r="A88" s="238">
        <v>8750</v>
      </c>
      <c r="B88" s="238" t="s">
        <v>161</v>
      </c>
      <c r="C88" s="238" t="s">
        <v>83</v>
      </c>
      <c r="D88" s="238">
        <v>6755</v>
      </c>
      <c r="E88" s="238">
        <v>2025</v>
      </c>
      <c r="F88" s="238" t="s">
        <v>275</v>
      </c>
      <c r="G88" s="238">
        <v>5</v>
      </c>
      <c r="H88" s="238">
        <v>12</v>
      </c>
      <c r="I88" s="238" t="s">
        <v>715</v>
      </c>
      <c r="J88" s="239">
        <v>0</v>
      </c>
      <c r="K88" s="239">
        <v>0</v>
      </c>
      <c r="L88" s="239">
        <v>0</v>
      </c>
      <c r="M88" s="239">
        <v>0</v>
      </c>
      <c r="N88" s="239">
        <v>0</v>
      </c>
      <c r="O88" s="239">
        <v>0</v>
      </c>
      <c r="P88" s="239">
        <v>0</v>
      </c>
      <c r="Q88" s="242">
        <v>0</v>
      </c>
      <c r="R88" s="239">
        <v>0</v>
      </c>
      <c r="S88" s="239">
        <v>0</v>
      </c>
      <c r="T88" s="239">
        <v>0</v>
      </c>
      <c r="U88" s="239">
        <v>0</v>
      </c>
      <c r="V88" s="239">
        <v>0</v>
      </c>
      <c r="W88" s="239">
        <v>0</v>
      </c>
      <c r="X88" s="242">
        <v>0</v>
      </c>
      <c r="Y88" s="239">
        <v>0</v>
      </c>
      <c r="Z88" s="242">
        <v>0</v>
      </c>
      <c r="AA88" s="242">
        <v>0</v>
      </c>
      <c r="AB88" s="239">
        <v>0</v>
      </c>
      <c r="AC88" s="239">
        <v>0</v>
      </c>
      <c r="AD88" s="239">
        <v>0</v>
      </c>
      <c r="AE88" s="239">
        <v>0</v>
      </c>
      <c r="AF88" s="242">
        <v>0</v>
      </c>
      <c r="AG88" s="239">
        <v>0</v>
      </c>
      <c r="AH88" s="239">
        <v>0</v>
      </c>
      <c r="AI88" s="239">
        <v>0</v>
      </c>
      <c r="AJ88" s="242">
        <v>0</v>
      </c>
      <c r="AK88" s="242">
        <v>0</v>
      </c>
      <c r="AL88" s="239">
        <v>0</v>
      </c>
      <c r="AM88" s="239">
        <v>0</v>
      </c>
      <c r="AN88" s="239">
        <v>0</v>
      </c>
      <c r="AO88" s="242">
        <v>0</v>
      </c>
      <c r="AP88" s="242">
        <v>0</v>
      </c>
      <c r="AQ88" s="239">
        <v>103059000</v>
      </c>
      <c r="AR88" s="239">
        <v>0</v>
      </c>
      <c r="AS88" s="239">
        <v>18434000</v>
      </c>
      <c r="AT88" s="239">
        <v>0</v>
      </c>
      <c r="AU88" s="239">
        <v>0</v>
      </c>
      <c r="AV88" s="239">
        <v>0</v>
      </c>
      <c r="AW88" s="242">
        <v>121493000</v>
      </c>
      <c r="AX88" s="239">
        <v>0</v>
      </c>
      <c r="AY88" s="239">
        <v>0</v>
      </c>
      <c r="AZ88" s="239">
        <v>0</v>
      </c>
      <c r="BA88" s="239">
        <v>0</v>
      </c>
      <c r="BB88" s="239">
        <v>0</v>
      </c>
      <c r="BC88" s="242">
        <v>0</v>
      </c>
      <c r="BD88" s="242">
        <v>121493000</v>
      </c>
      <c r="BE88" s="239">
        <v>94259000</v>
      </c>
      <c r="BF88" s="239">
        <v>0</v>
      </c>
      <c r="BG88" s="239">
        <v>948000</v>
      </c>
      <c r="BH88" s="239">
        <v>550000</v>
      </c>
      <c r="BI88" s="239">
        <v>0</v>
      </c>
      <c r="BJ88" s="239">
        <v>35134000</v>
      </c>
      <c r="BK88" s="239">
        <v>0</v>
      </c>
      <c r="BL88" s="242">
        <v>130891000</v>
      </c>
      <c r="BM88" s="242">
        <v>-9398000</v>
      </c>
      <c r="BN88" s="239">
        <v>10249000</v>
      </c>
      <c r="BO88" s="239">
        <v>0</v>
      </c>
      <c r="BP88" s="239">
        <v>851000</v>
      </c>
      <c r="BQ88" s="239">
        <v>0</v>
      </c>
      <c r="BR88" s="239">
        <v>0</v>
      </c>
      <c r="BS88" s="242">
        <v>851000</v>
      </c>
      <c r="BT88" s="247">
        <v>-7.6999999999999999E-2</v>
      </c>
      <c r="BU88" s="247">
        <v>0</v>
      </c>
      <c r="BV88" s="247">
        <v>-7.6999999999999999E-2</v>
      </c>
      <c r="BW88" s="244">
        <v>0</v>
      </c>
      <c r="BX88" s="245">
        <v>0</v>
      </c>
      <c r="BY88" s="245">
        <v>0</v>
      </c>
      <c r="BZ88" s="246">
        <f t="shared" si="4"/>
        <v>-8.3333333333333339</v>
      </c>
      <c r="CA88" s="247">
        <v>0</v>
      </c>
      <c r="CB88" s="247">
        <v>0</v>
      </c>
      <c r="CC88" s="248">
        <v>0</v>
      </c>
      <c r="CD88" s="248"/>
      <c r="CE88" s="247" t="e">
        <f t="shared" si="5"/>
        <v>#DIV/0!</v>
      </c>
      <c r="CF88" s="242">
        <v>-9398000</v>
      </c>
      <c r="CG88" s="247">
        <v>-7.6999999999999999E-2</v>
      </c>
      <c r="CH88" s="247">
        <v>0</v>
      </c>
      <c r="CI88" s="247">
        <v>-7.6999999999999999E-2</v>
      </c>
    </row>
    <row r="89" spans="1:87" s="60" customFormat="1" ht="22.8" x14ac:dyDescent="0.3">
      <c r="A89" s="238">
        <v>99</v>
      </c>
      <c r="B89" s="238" t="s">
        <v>173</v>
      </c>
      <c r="C89" s="238" t="s">
        <v>77</v>
      </c>
      <c r="D89" s="238">
        <v>22350</v>
      </c>
      <c r="E89" s="238">
        <v>2025</v>
      </c>
      <c r="F89" s="238" t="s">
        <v>275</v>
      </c>
      <c r="G89" s="238">
        <v>5</v>
      </c>
      <c r="H89" s="238">
        <v>12</v>
      </c>
      <c r="I89" s="238" t="s">
        <v>715</v>
      </c>
      <c r="J89" s="239">
        <v>311000</v>
      </c>
      <c r="K89" s="239">
        <v>0</v>
      </c>
      <c r="L89" s="239">
        <v>0</v>
      </c>
      <c r="M89" s="239">
        <v>13187000</v>
      </c>
      <c r="N89" s="239">
        <v>0</v>
      </c>
      <c r="O89" s="239">
        <v>0</v>
      </c>
      <c r="P89" s="239">
        <v>291349000</v>
      </c>
      <c r="Q89" s="242">
        <v>304847000</v>
      </c>
      <c r="R89" s="239">
        <v>33928000</v>
      </c>
      <c r="S89" s="239">
        <v>0</v>
      </c>
      <c r="T89" s="239">
        <v>0</v>
      </c>
      <c r="U89" s="239">
        <v>0</v>
      </c>
      <c r="V89" s="239">
        <v>93595000</v>
      </c>
      <c r="W89" s="239">
        <v>3766000</v>
      </c>
      <c r="X89" s="242">
        <v>89829000</v>
      </c>
      <c r="Y89" s="239">
        <v>28859000</v>
      </c>
      <c r="Z89" s="242">
        <v>152616000</v>
      </c>
      <c r="AA89" s="242">
        <v>457463000</v>
      </c>
      <c r="AB89" s="239">
        <v>0</v>
      </c>
      <c r="AC89" s="239">
        <v>544000</v>
      </c>
      <c r="AD89" s="239">
        <v>0</v>
      </c>
      <c r="AE89" s="239">
        <v>161857000</v>
      </c>
      <c r="AF89" s="242">
        <v>162401000</v>
      </c>
      <c r="AG89" s="239">
        <v>302860000</v>
      </c>
      <c r="AH89" s="239">
        <v>0</v>
      </c>
      <c r="AI89" s="239">
        <v>14569000</v>
      </c>
      <c r="AJ89" s="242">
        <v>317429000</v>
      </c>
      <c r="AK89" s="242">
        <v>479830000</v>
      </c>
      <c r="AL89" s="239">
        <v>-22367000</v>
      </c>
      <c r="AM89" s="239">
        <v>0</v>
      </c>
      <c r="AN89" s="239">
        <v>0</v>
      </c>
      <c r="AO89" s="242">
        <v>-22367000</v>
      </c>
      <c r="AP89" s="242">
        <v>457463000</v>
      </c>
      <c r="AQ89" s="239">
        <v>162202000</v>
      </c>
      <c r="AR89" s="239">
        <v>0</v>
      </c>
      <c r="AS89" s="239">
        <v>15018000</v>
      </c>
      <c r="AT89" s="239">
        <v>0</v>
      </c>
      <c r="AU89" s="239">
        <v>0</v>
      </c>
      <c r="AV89" s="239">
        <v>0</v>
      </c>
      <c r="AW89" s="242">
        <v>177220000</v>
      </c>
      <c r="AX89" s="239">
        <v>0</v>
      </c>
      <c r="AY89" s="239">
        <v>0</v>
      </c>
      <c r="AZ89" s="239">
        <v>0</v>
      </c>
      <c r="BA89" s="239">
        <v>5098000</v>
      </c>
      <c r="BB89" s="239">
        <v>0</v>
      </c>
      <c r="BC89" s="242">
        <v>5098000</v>
      </c>
      <c r="BD89" s="242">
        <v>182318000</v>
      </c>
      <c r="BE89" s="239">
        <v>102043000</v>
      </c>
      <c r="BF89" s="239">
        <v>0</v>
      </c>
      <c r="BG89" s="239">
        <v>4110000</v>
      </c>
      <c r="BH89" s="239">
        <v>7987000</v>
      </c>
      <c r="BI89" s="239">
        <v>8482056</v>
      </c>
      <c r="BJ89" s="239">
        <v>60767944</v>
      </c>
      <c r="BK89" s="239">
        <v>0</v>
      </c>
      <c r="BL89" s="242">
        <v>183390000</v>
      </c>
      <c r="BM89" s="242">
        <v>-1072000</v>
      </c>
      <c r="BN89" s="239">
        <v>-21296000</v>
      </c>
      <c r="BO89" s="239">
        <v>1000</v>
      </c>
      <c r="BP89" s="239">
        <v>-22367000</v>
      </c>
      <c r="BQ89" s="239">
        <v>0</v>
      </c>
      <c r="BR89" s="239">
        <v>0</v>
      </c>
      <c r="BS89" s="242">
        <v>-22367000</v>
      </c>
      <c r="BT89" s="243">
        <v>-3.4000000000000002E-2</v>
      </c>
      <c r="BU89" s="243">
        <v>2.8000000000000001E-2</v>
      </c>
      <c r="BV89" s="243">
        <v>-6.0000000000000001E-3</v>
      </c>
      <c r="BW89" s="244">
        <v>1.9</v>
      </c>
      <c r="BX89" s="245">
        <v>30</v>
      </c>
      <c r="BY89" s="245">
        <v>330</v>
      </c>
      <c r="BZ89" s="246">
        <f t="shared" si="4"/>
        <v>2.6824817518248176</v>
      </c>
      <c r="CA89" s="247">
        <v>7.0000000000000001E-3</v>
      </c>
      <c r="CB89" s="247">
        <v>-4.9000000000000002E-2</v>
      </c>
      <c r="CC89" s="248">
        <v>1</v>
      </c>
      <c r="CD89" s="249">
        <v>1</v>
      </c>
      <c r="CE89" s="247">
        <f t="shared" si="5"/>
        <v>1.0797417404355902</v>
      </c>
      <c r="CF89" s="242">
        <v>-1072000</v>
      </c>
      <c r="CG89" s="243">
        <v>-3.4000000000000002E-2</v>
      </c>
      <c r="CH89" s="243">
        <v>2.8000000000000001E-2</v>
      </c>
      <c r="CI89" s="243">
        <v>-6.0000000000000001E-3</v>
      </c>
    </row>
    <row r="90" spans="1:87" s="60" customFormat="1" ht="22.8" x14ac:dyDescent="0.3">
      <c r="A90" s="238">
        <v>100</v>
      </c>
      <c r="B90" s="238" t="s">
        <v>97</v>
      </c>
      <c r="C90" s="238" t="s">
        <v>77</v>
      </c>
      <c r="D90" s="238">
        <v>16665</v>
      </c>
      <c r="E90" s="238">
        <v>2025</v>
      </c>
      <c r="F90" s="238" t="s">
        <v>275</v>
      </c>
      <c r="G90" s="238">
        <v>5</v>
      </c>
      <c r="H90" s="238">
        <v>12</v>
      </c>
      <c r="I90" s="238" t="s">
        <v>715</v>
      </c>
      <c r="J90" s="239">
        <v>-33000</v>
      </c>
      <c r="K90" s="239">
        <v>124608000</v>
      </c>
      <c r="L90" s="239">
        <v>0</v>
      </c>
      <c r="M90" s="239">
        <v>37136000</v>
      </c>
      <c r="N90" s="239">
        <v>0</v>
      </c>
      <c r="O90" s="239">
        <v>0</v>
      </c>
      <c r="P90" s="239">
        <v>8239000</v>
      </c>
      <c r="Q90" s="242">
        <v>169950000</v>
      </c>
      <c r="R90" s="239">
        <v>24981000</v>
      </c>
      <c r="S90" s="239">
        <v>1427000</v>
      </c>
      <c r="T90" s="239">
        <v>0</v>
      </c>
      <c r="U90" s="239">
        <v>0</v>
      </c>
      <c r="V90" s="239">
        <v>660785000</v>
      </c>
      <c r="W90" s="239">
        <v>504970000</v>
      </c>
      <c r="X90" s="242">
        <v>155815000</v>
      </c>
      <c r="Y90" s="239">
        <v>98182000</v>
      </c>
      <c r="Z90" s="242">
        <v>280405000</v>
      </c>
      <c r="AA90" s="242">
        <v>450355000</v>
      </c>
      <c r="AB90" s="239">
        <v>3325000</v>
      </c>
      <c r="AC90" s="239">
        <v>7005000</v>
      </c>
      <c r="AD90" s="239">
        <v>16567000</v>
      </c>
      <c r="AE90" s="239">
        <v>32016000</v>
      </c>
      <c r="AF90" s="242">
        <v>58913000</v>
      </c>
      <c r="AG90" s="239">
        <v>96405000</v>
      </c>
      <c r="AH90" s="239">
        <v>0</v>
      </c>
      <c r="AI90" s="239">
        <v>49104000</v>
      </c>
      <c r="AJ90" s="242">
        <v>145509000</v>
      </c>
      <c r="AK90" s="242">
        <v>204422000</v>
      </c>
      <c r="AL90" s="239">
        <v>219525000</v>
      </c>
      <c r="AM90" s="239">
        <v>12313000</v>
      </c>
      <c r="AN90" s="239">
        <v>14095000</v>
      </c>
      <c r="AO90" s="242">
        <v>245933000</v>
      </c>
      <c r="AP90" s="242">
        <v>450355000</v>
      </c>
      <c r="AQ90" s="239">
        <v>352750000</v>
      </c>
      <c r="AR90" s="239">
        <v>0</v>
      </c>
      <c r="AS90" s="239">
        <v>32550000</v>
      </c>
      <c r="AT90" s="239">
        <v>0</v>
      </c>
      <c r="AU90" s="239">
        <v>0</v>
      </c>
      <c r="AV90" s="239">
        <v>0</v>
      </c>
      <c r="AW90" s="242">
        <v>385300000</v>
      </c>
      <c r="AX90" s="239">
        <v>5838000</v>
      </c>
      <c r="AY90" s="239">
        <v>0</v>
      </c>
      <c r="AZ90" s="239">
        <v>19207000</v>
      </c>
      <c r="BA90" s="239">
        <v>43000</v>
      </c>
      <c r="BB90" s="239">
        <v>0</v>
      </c>
      <c r="BC90" s="242">
        <v>25088000</v>
      </c>
      <c r="BD90" s="242">
        <v>410388000</v>
      </c>
      <c r="BE90" s="239">
        <v>169728000</v>
      </c>
      <c r="BF90" s="239">
        <v>0</v>
      </c>
      <c r="BG90" s="239">
        <v>23968000</v>
      </c>
      <c r="BH90" s="239">
        <v>2678000</v>
      </c>
      <c r="BI90" s="239">
        <v>5737000</v>
      </c>
      <c r="BJ90" s="239">
        <v>171299000</v>
      </c>
      <c r="BK90" s="239">
        <v>0</v>
      </c>
      <c r="BL90" s="242">
        <v>373410000</v>
      </c>
      <c r="BM90" s="242">
        <v>36978000</v>
      </c>
      <c r="BN90" s="239">
        <v>0</v>
      </c>
      <c r="BO90" s="239">
        <v>1400000</v>
      </c>
      <c r="BP90" s="239">
        <v>38378000</v>
      </c>
      <c r="BQ90" s="239">
        <v>-45000</v>
      </c>
      <c r="BR90" s="239">
        <v>0</v>
      </c>
      <c r="BS90" s="242">
        <v>38333000</v>
      </c>
      <c r="BT90" s="243">
        <v>2.9000000000000001E-2</v>
      </c>
      <c r="BU90" s="243">
        <v>6.0999999999999999E-2</v>
      </c>
      <c r="BV90" s="243">
        <v>0.09</v>
      </c>
      <c r="BW90" s="244">
        <v>2.9</v>
      </c>
      <c r="BX90" s="245">
        <v>38</v>
      </c>
      <c r="BY90" s="245">
        <v>54</v>
      </c>
      <c r="BZ90" s="246">
        <f t="shared" si="4"/>
        <v>1.6274136225405782</v>
      </c>
      <c r="CA90" s="247">
        <v>0.26900000000000002</v>
      </c>
      <c r="CB90" s="247">
        <v>0.54600000000000004</v>
      </c>
      <c r="CC90" s="248">
        <v>21</v>
      </c>
      <c r="CD90" s="249">
        <v>130</v>
      </c>
      <c r="CE90" s="247">
        <f t="shared" si="5"/>
        <v>0.30514670971417718</v>
      </c>
      <c r="CF90" s="242">
        <v>36978000</v>
      </c>
      <c r="CG90" s="243">
        <v>2.9000000000000001E-2</v>
      </c>
      <c r="CH90" s="243">
        <v>6.0999999999999999E-2</v>
      </c>
      <c r="CI90" s="243">
        <v>0.09</v>
      </c>
    </row>
    <row r="91" spans="1:87" s="60" customFormat="1" ht="22.8" hidden="1" x14ac:dyDescent="0.3">
      <c r="A91" s="233">
        <v>11404</v>
      </c>
      <c r="B91" s="233" t="s">
        <v>108</v>
      </c>
      <c r="C91" s="233" t="s">
        <v>83</v>
      </c>
      <c r="D91" s="233">
        <v>16665</v>
      </c>
      <c r="E91" s="233">
        <v>2025</v>
      </c>
      <c r="F91" s="233" t="s">
        <v>275</v>
      </c>
      <c r="G91" s="233">
        <v>5</v>
      </c>
      <c r="H91" s="233">
        <v>12</v>
      </c>
      <c r="I91" s="233" t="s">
        <v>715</v>
      </c>
      <c r="J91" s="234">
        <v>0</v>
      </c>
      <c r="K91" s="234">
        <v>0</v>
      </c>
      <c r="L91" s="234">
        <v>0</v>
      </c>
      <c r="M91" s="234">
        <v>0</v>
      </c>
      <c r="N91" s="234">
        <v>0</v>
      </c>
      <c r="O91" s="234">
        <v>0</v>
      </c>
      <c r="P91" s="234">
        <v>0</v>
      </c>
      <c r="Q91" s="242">
        <v>0</v>
      </c>
      <c r="R91" s="234">
        <v>0</v>
      </c>
      <c r="S91" s="234">
        <v>0</v>
      </c>
      <c r="T91" s="234">
        <v>0</v>
      </c>
      <c r="U91" s="234">
        <v>0</v>
      </c>
      <c r="V91" s="234">
        <v>0</v>
      </c>
      <c r="W91" s="234">
        <v>0</v>
      </c>
      <c r="X91" s="242">
        <v>0</v>
      </c>
      <c r="Y91" s="234">
        <v>0</v>
      </c>
      <c r="Z91" s="242">
        <v>0</v>
      </c>
      <c r="AA91" s="242">
        <v>0</v>
      </c>
      <c r="AB91" s="234">
        <v>0</v>
      </c>
      <c r="AC91" s="234">
        <v>0</v>
      </c>
      <c r="AD91" s="234">
        <v>0</v>
      </c>
      <c r="AE91" s="234">
        <v>0</v>
      </c>
      <c r="AF91" s="242">
        <v>0</v>
      </c>
      <c r="AG91" s="234">
        <v>0</v>
      </c>
      <c r="AH91" s="234">
        <v>0</v>
      </c>
      <c r="AI91" s="234">
        <v>0</v>
      </c>
      <c r="AJ91" s="242">
        <v>0</v>
      </c>
      <c r="AK91" s="242">
        <v>0</v>
      </c>
      <c r="AL91" s="234">
        <v>0</v>
      </c>
      <c r="AM91" s="234">
        <v>0</v>
      </c>
      <c r="AN91" s="234">
        <v>0</v>
      </c>
      <c r="AO91" s="242">
        <v>0</v>
      </c>
      <c r="AP91" s="242">
        <v>0</v>
      </c>
      <c r="AQ91" s="234">
        <v>81115000</v>
      </c>
      <c r="AR91" s="234">
        <v>0</v>
      </c>
      <c r="AS91" s="234">
        <v>16873000</v>
      </c>
      <c r="AT91" s="234">
        <v>0</v>
      </c>
      <c r="AU91" s="234">
        <v>0</v>
      </c>
      <c r="AV91" s="234">
        <v>0</v>
      </c>
      <c r="AW91" s="242">
        <v>97988000</v>
      </c>
      <c r="AX91" s="234">
        <v>0</v>
      </c>
      <c r="AY91" s="234">
        <v>0</v>
      </c>
      <c r="AZ91" s="234">
        <v>0</v>
      </c>
      <c r="BA91" s="234">
        <v>912000</v>
      </c>
      <c r="BB91" s="234">
        <v>0</v>
      </c>
      <c r="BC91" s="242">
        <v>912000</v>
      </c>
      <c r="BD91" s="242">
        <v>98900000</v>
      </c>
      <c r="BE91" s="234">
        <v>62847000</v>
      </c>
      <c r="BF91" s="234">
        <v>0</v>
      </c>
      <c r="BG91" s="234">
        <v>1226000</v>
      </c>
      <c r="BH91" s="234">
        <v>0</v>
      </c>
      <c r="BI91" s="234">
        <v>0</v>
      </c>
      <c r="BJ91" s="234">
        <v>64764000</v>
      </c>
      <c r="BK91" s="234">
        <v>0</v>
      </c>
      <c r="BL91" s="242">
        <v>128837000</v>
      </c>
      <c r="BM91" s="242">
        <v>-29937000</v>
      </c>
      <c r="BN91" s="234">
        <v>0</v>
      </c>
      <c r="BO91" s="234">
        <v>0</v>
      </c>
      <c r="BP91" s="234">
        <v>-29937000</v>
      </c>
      <c r="BQ91" s="234">
        <v>0</v>
      </c>
      <c r="BR91" s="234">
        <v>0</v>
      </c>
      <c r="BS91" s="242">
        <v>-29937000</v>
      </c>
      <c r="BT91" s="243">
        <v>-0.312</v>
      </c>
      <c r="BU91" s="243">
        <v>8.9999999999999993E-3</v>
      </c>
      <c r="BV91" s="243">
        <v>-0.30299999999999999</v>
      </c>
      <c r="BW91" s="244">
        <v>0</v>
      </c>
      <c r="BX91" s="245">
        <v>0</v>
      </c>
      <c r="BY91" s="245">
        <v>0</v>
      </c>
      <c r="BZ91" s="246">
        <f t="shared" si="4"/>
        <v>-23.418433931484504</v>
      </c>
      <c r="CA91" s="247">
        <v>0</v>
      </c>
      <c r="CB91" s="247">
        <v>0</v>
      </c>
      <c r="CC91" s="248">
        <v>0</v>
      </c>
      <c r="CD91" s="249">
        <v>0</v>
      </c>
      <c r="CE91" s="247" t="e">
        <f t="shared" si="5"/>
        <v>#DIV/0!</v>
      </c>
      <c r="CF91" s="242">
        <v>-29937000</v>
      </c>
      <c r="CG91" s="243">
        <v>-0.312</v>
      </c>
      <c r="CH91" s="243">
        <v>8.9999999999999993E-3</v>
      </c>
      <c r="CI91" s="243">
        <v>-0.30299999999999999</v>
      </c>
    </row>
    <row r="92" spans="1:87" s="60" customFormat="1" ht="22.8" x14ac:dyDescent="0.3">
      <c r="A92" s="238">
        <v>101</v>
      </c>
      <c r="B92" s="238" t="s">
        <v>148</v>
      </c>
      <c r="C92" s="238" t="s">
        <v>77</v>
      </c>
      <c r="D92" s="238">
        <v>3791</v>
      </c>
      <c r="E92" s="238">
        <v>2025</v>
      </c>
      <c r="F92" s="238" t="s">
        <v>275</v>
      </c>
      <c r="G92" s="238">
        <v>5</v>
      </c>
      <c r="H92" s="238">
        <v>12</v>
      </c>
      <c r="I92" s="238" t="s">
        <v>715</v>
      </c>
      <c r="J92" s="239">
        <v>23374000</v>
      </c>
      <c r="K92" s="239">
        <v>-14335000</v>
      </c>
      <c r="L92" s="239">
        <v>8838000</v>
      </c>
      <c r="M92" s="239">
        <v>15963000</v>
      </c>
      <c r="N92" s="239">
        <v>7584000</v>
      </c>
      <c r="O92" s="239">
        <v>13000</v>
      </c>
      <c r="P92" s="239">
        <v>5725000</v>
      </c>
      <c r="Q92" s="242">
        <v>47162000</v>
      </c>
      <c r="R92" s="239">
        <v>9928000</v>
      </c>
      <c r="S92" s="239">
        <v>5627000</v>
      </c>
      <c r="T92" s="239">
        <v>0</v>
      </c>
      <c r="U92" s="239">
        <v>0</v>
      </c>
      <c r="V92" s="239">
        <v>148955000</v>
      </c>
      <c r="W92" s="239">
        <v>52174000</v>
      </c>
      <c r="X92" s="242">
        <v>96781000</v>
      </c>
      <c r="Y92" s="239">
        <v>44853000</v>
      </c>
      <c r="Z92" s="242">
        <v>157189000</v>
      </c>
      <c r="AA92" s="242">
        <v>204351000</v>
      </c>
      <c r="AB92" s="239">
        <v>103000</v>
      </c>
      <c r="AC92" s="239">
        <v>140000</v>
      </c>
      <c r="AD92" s="239">
        <v>8278000</v>
      </c>
      <c r="AE92" s="239">
        <v>6537000</v>
      </c>
      <c r="AF92" s="242">
        <v>15058000</v>
      </c>
      <c r="AG92" s="239">
        <v>1501000</v>
      </c>
      <c r="AH92" s="239">
        <v>0</v>
      </c>
      <c r="AI92" s="239">
        <v>2390000</v>
      </c>
      <c r="AJ92" s="242">
        <v>3891000</v>
      </c>
      <c r="AK92" s="242">
        <v>18949000</v>
      </c>
      <c r="AL92" s="239">
        <v>126912000</v>
      </c>
      <c r="AM92" s="239">
        <v>58490000</v>
      </c>
      <c r="AN92" s="239">
        <v>0</v>
      </c>
      <c r="AO92" s="242">
        <v>185402000</v>
      </c>
      <c r="AP92" s="242">
        <v>204351000</v>
      </c>
      <c r="AQ92" s="239">
        <v>83039000</v>
      </c>
      <c r="AR92" s="239">
        <v>0</v>
      </c>
      <c r="AS92" s="239">
        <v>17170000</v>
      </c>
      <c r="AT92" s="239">
        <v>0</v>
      </c>
      <c r="AU92" s="239">
        <v>0</v>
      </c>
      <c r="AV92" s="239">
        <v>0</v>
      </c>
      <c r="AW92" s="242">
        <v>100209000</v>
      </c>
      <c r="AX92" s="239">
        <v>1168000</v>
      </c>
      <c r="AY92" s="239">
        <v>-949000</v>
      </c>
      <c r="AZ92" s="239">
        <v>411000</v>
      </c>
      <c r="BA92" s="239">
        <v>0</v>
      </c>
      <c r="BB92" s="239">
        <v>5732000</v>
      </c>
      <c r="BC92" s="242">
        <v>6362000</v>
      </c>
      <c r="BD92" s="242">
        <v>106571000</v>
      </c>
      <c r="BE92" s="239">
        <v>52415000</v>
      </c>
      <c r="BF92" s="239">
        <v>0</v>
      </c>
      <c r="BG92" s="239">
        <v>6361000</v>
      </c>
      <c r="BH92" s="239">
        <v>98000</v>
      </c>
      <c r="BI92" s="239">
        <v>207000</v>
      </c>
      <c r="BJ92" s="239">
        <v>46234000</v>
      </c>
      <c r="BK92" s="239">
        <v>0</v>
      </c>
      <c r="BL92" s="242">
        <v>105315000</v>
      </c>
      <c r="BM92" s="242">
        <v>1256000</v>
      </c>
      <c r="BN92" s="239">
        <v>-13000</v>
      </c>
      <c r="BO92" s="239">
        <v>728000</v>
      </c>
      <c r="BP92" s="239">
        <v>1971000</v>
      </c>
      <c r="BQ92" s="239">
        <v>15000</v>
      </c>
      <c r="BR92" s="239">
        <v>0</v>
      </c>
      <c r="BS92" s="242">
        <v>1986000</v>
      </c>
      <c r="BT92" s="243">
        <v>-4.8000000000000001E-2</v>
      </c>
      <c r="BU92" s="243">
        <v>0.06</v>
      </c>
      <c r="BV92" s="243">
        <v>1.2E-2</v>
      </c>
      <c r="BW92" s="244">
        <v>3.1</v>
      </c>
      <c r="BX92" s="245">
        <v>70</v>
      </c>
      <c r="BY92" s="245">
        <v>55</v>
      </c>
      <c r="BZ92" s="246">
        <f t="shared" si="4"/>
        <v>1.129950495049505</v>
      </c>
      <c r="CA92" s="247">
        <v>0.46</v>
      </c>
      <c r="CB92" s="247">
        <v>0.90700000000000003</v>
      </c>
      <c r="CC92" s="248">
        <v>8</v>
      </c>
      <c r="CD92" s="249">
        <v>33</v>
      </c>
      <c r="CE92" s="247">
        <f t="shared" si="5"/>
        <v>1.1688847702335433E-2</v>
      </c>
      <c r="CF92" s="242">
        <v>1256000</v>
      </c>
      <c r="CG92" s="243">
        <v>-4.8000000000000001E-2</v>
      </c>
      <c r="CH92" s="243">
        <v>0.06</v>
      </c>
      <c r="CI92" s="243">
        <v>1.2E-2</v>
      </c>
    </row>
    <row r="93" spans="1:87" s="60" customFormat="1" ht="22.8" hidden="1" x14ac:dyDescent="0.3">
      <c r="A93" s="238">
        <v>16579</v>
      </c>
      <c r="B93" s="238" t="s">
        <v>155</v>
      </c>
      <c r="C93" s="238" t="s">
        <v>83</v>
      </c>
      <c r="D93" s="238">
        <v>3791</v>
      </c>
      <c r="E93" s="238">
        <v>2025</v>
      </c>
      <c r="F93" s="238" t="s">
        <v>275</v>
      </c>
      <c r="G93" s="238">
        <v>5</v>
      </c>
      <c r="H93" s="238">
        <v>12</v>
      </c>
      <c r="I93" s="238" t="s">
        <v>715</v>
      </c>
      <c r="J93" s="239">
        <v>0</v>
      </c>
      <c r="K93" s="239">
        <v>0</v>
      </c>
      <c r="L93" s="239">
        <v>0</v>
      </c>
      <c r="M93" s="239">
        <v>0</v>
      </c>
      <c r="N93" s="239">
        <v>0</v>
      </c>
      <c r="O93" s="239">
        <v>0</v>
      </c>
      <c r="P93" s="239">
        <v>0</v>
      </c>
      <c r="Q93" s="242">
        <v>0</v>
      </c>
      <c r="R93" s="239">
        <v>0</v>
      </c>
      <c r="S93" s="239">
        <v>0</v>
      </c>
      <c r="T93" s="239">
        <v>0</v>
      </c>
      <c r="U93" s="239">
        <v>0</v>
      </c>
      <c r="V93" s="239">
        <v>0</v>
      </c>
      <c r="W93" s="239">
        <v>0</v>
      </c>
      <c r="X93" s="242">
        <v>0</v>
      </c>
      <c r="Y93" s="239">
        <v>0</v>
      </c>
      <c r="Z93" s="242">
        <v>0</v>
      </c>
      <c r="AA93" s="242">
        <v>0</v>
      </c>
      <c r="AB93" s="239">
        <v>0</v>
      </c>
      <c r="AC93" s="239">
        <v>0</v>
      </c>
      <c r="AD93" s="239">
        <v>0</v>
      </c>
      <c r="AE93" s="239">
        <v>0</v>
      </c>
      <c r="AF93" s="242">
        <v>0</v>
      </c>
      <c r="AG93" s="239">
        <v>0</v>
      </c>
      <c r="AH93" s="239">
        <v>0</v>
      </c>
      <c r="AI93" s="239">
        <v>0</v>
      </c>
      <c r="AJ93" s="242">
        <v>0</v>
      </c>
      <c r="AK93" s="242">
        <v>0</v>
      </c>
      <c r="AL93" s="239">
        <v>0</v>
      </c>
      <c r="AM93" s="239">
        <v>0</v>
      </c>
      <c r="AN93" s="239">
        <v>0</v>
      </c>
      <c r="AO93" s="242">
        <v>0</v>
      </c>
      <c r="AP93" s="242">
        <v>0</v>
      </c>
      <c r="AQ93" s="239">
        <v>1323000</v>
      </c>
      <c r="AR93" s="239">
        <v>0</v>
      </c>
      <c r="AS93" s="239">
        <v>617000</v>
      </c>
      <c r="AT93" s="239">
        <v>0</v>
      </c>
      <c r="AU93" s="239">
        <v>0</v>
      </c>
      <c r="AV93" s="239">
        <v>0</v>
      </c>
      <c r="AW93" s="242">
        <v>1940000</v>
      </c>
      <c r="AX93" s="239">
        <v>0</v>
      </c>
      <c r="AY93" s="239">
        <v>0</v>
      </c>
      <c r="AZ93" s="239">
        <v>0</v>
      </c>
      <c r="BA93" s="239">
        <v>0</v>
      </c>
      <c r="BB93" s="239">
        <v>0</v>
      </c>
      <c r="BC93" s="242">
        <v>0</v>
      </c>
      <c r="BD93" s="242">
        <v>1940000</v>
      </c>
      <c r="BE93" s="239">
        <v>10000</v>
      </c>
      <c r="BF93" s="239">
        <v>0</v>
      </c>
      <c r="BG93" s="239">
        <v>0</v>
      </c>
      <c r="BH93" s="239">
        <v>0</v>
      </c>
      <c r="BI93" s="239">
        <v>0</v>
      </c>
      <c r="BJ93" s="239">
        <v>1452000</v>
      </c>
      <c r="BK93" s="239">
        <v>0</v>
      </c>
      <c r="BL93" s="242">
        <v>1462000</v>
      </c>
      <c r="BM93" s="242">
        <v>478000</v>
      </c>
      <c r="BN93" s="239">
        <v>18000</v>
      </c>
      <c r="BO93" s="239">
        <v>0</v>
      </c>
      <c r="BP93" s="239">
        <v>496000</v>
      </c>
      <c r="BQ93" s="239">
        <v>0</v>
      </c>
      <c r="BR93" s="239">
        <v>0</v>
      </c>
      <c r="BS93" s="242">
        <v>496000</v>
      </c>
      <c r="BT93" s="243">
        <v>0.246</v>
      </c>
      <c r="BU93" s="243">
        <v>0</v>
      </c>
      <c r="BV93" s="243">
        <v>0.246</v>
      </c>
      <c r="BW93" s="244">
        <v>0</v>
      </c>
      <c r="BX93" s="245">
        <v>0</v>
      </c>
      <c r="BY93" s="245">
        <v>0</v>
      </c>
      <c r="BZ93" s="246" t="e">
        <f t="shared" si="4"/>
        <v>#DIV/0!</v>
      </c>
      <c r="CA93" s="247">
        <v>0</v>
      </c>
      <c r="CB93" s="247">
        <v>0</v>
      </c>
      <c r="CC93" s="248">
        <v>0</v>
      </c>
      <c r="CD93" s="249">
        <v>0</v>
      </c>
      <c r="CE93" s="247" t="e">
        <f t="shared" si="5"/>
        <v>#DIV/0!</v>
      </c>
      <c r="CF93" s="242">
        <v>478000</v>
      </c>
      <c r="CG93" s="243">
        <v>0.246</v>
      </c>
      <c r="CH93" s="243">
        <v>0</v>
      </c>
      <c r="CI93" s="243">
        <v>0.246</v>
      </c>
    </row>
    <row r="94" spans="1:87" s="60" customFormat="1" ht="22.8" x14ac:dyDescent="0.3">
      <c r="A94" s="233">
        <v>103</v>
      </c>
      <c r="B94" s="233" t="s">
        <v>98</v>
      </c>
      <c r="C94" s="233" t="s">
        <v>77</v>
      </c>
      <c r="D94" s="233">
        <v>16665</v>
      </c>
      <c r="E94" s="233">
        <v>2025</v>
      </c>
      <c r="F94" s="233" t="s">
        <v>275</v>
      </c>
      <c r="G94" s="233">
        <v>5</v>
      </c>
      <c r="H94" s="233">
        <v>12</v>
      </c>
      <c r="I94" s="233" t="s">
        <v>715</v>
      </c>
      <c r="J94" s="234">
        <v>-591000</v>
      </c>
      <c r="K94" s="234">
        <v>88508000</v>
      </c>
      <c r="L94" s="234">
        <v>0</v>
      </c>
      <c r="M94" s="234">
        <v>20391000</v>
      </c>
      <c r="N94" s="234">
        <v>12238000</v>
      </c>
      <c r="O94" s="234">
        <v>0</v>
      </c>
      <c r="P94" s="234">
        <v>6298000</v>
      </c>
      <c r="Q94" s="242">
        <v>126844000</v>
      </c>
      <c r="R94" s="234">
        <v>39949000</v>
      </c>
      <c r="S94" s="234">
        <v>1505000</v>
      </c>
      <c r="T94" s="234">
        <v>0</v>
      </c>
      <c r="U94" s="234">
        <v>0</v>
      </c>
      <c r="V94" s="234">
        <v>285341000</v>
      </c>
      <c r="W94" s="234">
        <v>219425000</v>
      </c>
      <c r="X94" s="242">
        <v>65916000</v>
      </c>
      <c r="Y94" s="234">
        <v>29268000</v>
      </c>
      <c r="Z94" s="242">
        <v>136638000</v>
      </c>
      <c r="AA94" s="242">
        <v>263482000</v>
      </c>
      <c r="AB94" s="234">
        <v>2085000</v>
      </c>
      <c r="AC94" s="234">
        <v>2550000</v>
      </c>
      <c r="AD94" s="234">
        <v>0</v>
      </c>
      <c r="AE94" s="234">
        <v>21735000</v>
      </c>
      <c r="AF94" s="242">
        <v>26370000</v>
      </c>
      <c r="AG94" s="234">
        <v>38534000</v>
      </c>
      <c r="AH94" s="234">
        <v>0</v>
      </c>
      <c r="AI94" s="234">
        <v>21721000</v>
      </c>
      <c r="AJ94" s="242">
        <v>60255000</v>
      </c>
      <c r="AK94" s="242">
        <v>86625000</v>
      </c>
      <c r="AL94" s="234">
        <v>135403000</v>
      </c>
      <c r="AM94" s="234">
        <v>21039000</v>
      </c>
      <c r="AN94" s="234">
        <v>20415000</v>
      </c>
      <c r="AO94" s="242">
        <v>176857000</v>
      </c>
      <c r="AP94" s="242">
        <v>263482000</v>
      </c>
      <c r="AQ94" s="234">
        <v>179185000</v>
      </c>
      <c r="AR94" s="234">
        <v>0</v>
      </c>
      <c r="AS94" s="234">
        <v>24853000</v>
      </c>
      <c r="AT94" s="234">
        <v>0</v>
      </c>
      <c r="AU94" s="234">
        <v>0</v>
      </c>
      <c r="AV94" s="234">
        <v>0</v>
      </c>
      <c r="AW94" s="242">
        <v>204038000</v>
      </c>
      <c r="AX94" s="234">
        <v>1591000</v>
      </c>
      <c r="AY94" s="234">
        <v>0</v>
      </c>
      <c r="AZ94" s="234">
        <v>6152000</v>
      </c>
      <c r="BA94" s="234">
        <v>491000</v>
      </c>
      <c r="BB94" s="234">
        <v>0</v>
      </c>
      <c r="BC94" s="242">
        <v>8234000</v>
      </c>
      <c r="BD94" s="242">
        <v>212272000</v>
      </c>
      <c r="BE94" s="234">
        <v>83473000</v>
      </c>
      <c r="BF94" s="234">
        <v>0</v>
      </c>
      <c r="BG94" s="234">
        <v>9405000</v>
      </c>
      <c r="BH94" s="234">
        <v>1409000</v>
      </c>
      <c r="BI94" s="234">
        <v>5942000</v>
      </c>
      <c r="BJ94" s="234">
        <v>123253000</v>
      </c>
      <c r="BK94" s="234">
        <v>0</v>
      </c>
      <c r="BL94" s="242">
        <v>223482000</v>
      </c>
      <c r="BM94" s="242">
        <v>-11210000</v>
      </c>
      <c r="BN94" s="234">
        <v>0</v>
      </c>
      <c r="BO94" s="234">
        <v>0</v>
      </c>
      <c r="BP94" s="234">
        <v>-11210000</v>
      </c>
      <c r="BQ94" s="234">
        <v>2168000</v>
      </c>
      <c r="BR94" s="234">
        <v>0</v>
      </c>
      <c r="BS94" s="242">
        <v>-9042000</v>
      </c>
      <c r="BT94" s="243">
        <v>-9.1999999999999998E-2</v>
      </c>
      <c r="BU94" s="243">
        <v>3.9E-2</v>
      </c>
      <c r="BV94" s="243">
        <v>-5.2999999999999999E-2</v>
      </c>
      <c r="BW94" s="244">
        <v>4.8</v>
      </c>
      <c r="BX94" s="245">
        <v>42</v>
      </c>
      <c r="BY94" s="245">
        <v>41</v>
      </c>
      <c r="BZ94" s="246">
        <f t="shared" si="4"/>
        <v>-0.56988685813751083</v>
      </c>
      <c r="CA94" s="247">
        <v>-0.123</v>
      </c>
      <c r="CB94" s="247">
        <v>0.67100000000000004</v>
      </c>
      <c r="CC94" s="248">
        <v>23</v>
      </c>
      <c r="CD94" s="249">
        <v>150</v>
      </c>
      <c r="CE94" s="247">
        <f t="shared" si="5"/>
        <v>0.22153998286736001</v>
      </c>
      <c r="CF94" s="242">
        <v>-11210000</v>
      </c>
      <c r="CG94" s="243">
        <v>-9.1999999999999998E-2</v>
      </c>
      <c r="CH94" s="243">
        <v>3.9E-2</v>
      </c>
      <c r="CI94" s="243">
        <v>-5.2999999999999999E-2</v>
      </c>
    </row>
    <row r="95" spans="1:87" s="60" customFormat="1" ht="22.8" hidden="1" x14ac:dyDescent="0.3">
      <c r="A95" s="238">
        <v>8655</v>
      </c>
      <c r="B95" s="238" t="s">
        <v>109</v>
      </c>
      <c r="C95" s="238" t="s">
        <v>83</v>
      </c>
      <c r="D95" s="238">
        <v>16665</v>
      </c>
      <c r="E95" s="238">
        <v>2025</v>
      </c>
      <c r="F95" s="238" t="s">
        <v>275</v>
      </c>
      <c r="G95" s="238">
        <v>5</v>
      </c>
      <c r="H95" s="238">
        <v>12</v>
      </c>
      <c r="I95" s="238" t="s">
        <v>715</v>
      </c>
      <c r="J95" s="239">
        <v>0</v>
      </c>
      <c r="K95" s="239">
        <v>0</v>
      </c>
      <c r="L95" s="239">
        <v>0</v>
      </c>
      <c r="M95" s="239">
        <v>0</v>
      </c>
      <c r="N95" s="239">
        <v>0</v>
      </c>
      <c r="O95" s="239">
        <v>0</v>
      </c>
      <c r="P95" s="239">
        <v>0</v>
      </c>
      <c r="Q95" s="242">
        <v>0</v>
      </c>
      <c r="R95" s="239">
        <v>0</v>
      </c>
      <c r="S95" s="239">
        <v>0</v>
      </c>
      <c r="T95" s="239">
        <v>0</v>
      </c>
      <c r="U95" s="239">
        <v>0</v>
      </c>
      <c r="V95" s="239">
        <v>0</v>
      </c>
      <c r="W95" s="239">
        <v>0</v>
      </c>
      <c r="X95" s="242">
        <v>0</v>
      </c>
      <c r="Y95" s="239">
        <v>0</v>
      </c>
      <c r="Z95" s="242">
        <v>0</v>
      </c>
      <c r="AA95" s="242">
        <v>0</v>
      </c>
      <c r="AB95" s="239">
        <v>0</v>
      </c>
      <c r="AC95" s="239">
        <v>0</v>
      </c>
      <c r="AD95" s="239">
        <v>0</v>
      </c>
      <c r="AE95" s="239">
        <v>0</v>
      </c>
      <c r="AF95" s="242">
        <v>0</v>
      </c>
      <c r="AG95" s="239">
        <v>0</v>
      </c>
      <c r="AH95" s="239">
        <v>0</v>
      </c>
      <c r="AI95" s="239">
        <v>0</v>
      </c>
      <c r="AJ95" s="242">
        <v>0</v>
      </c>
      <c r="AK95" s="242">
        <v>0</v>
      </c>
      <c r="AL95" s="239">
        <v>0</v>
      </c>
      <c r="AM95" s="239">
        <v>0</v>
      </c>
      <c r="AN95" s="239">
        <v>0</v>
      </c>
      <c r="AO95" s="242">
        <v>0</v>
      </c>
      <c r="AP95" s="242">
        <v>0</v>
      </c>
      <c r="AQ95" s="239">
        <v>8395000</v>
      </c>
      <c r="AR95" s="239">
        <v>0</v>
      </c>
      <c r="AS95" s="239">
        <v>573000</v>
      </c>
      <c r="AT95" s="239">
        <v>0</v>
      </c>
      <c r="AU95" s="239">
        <v>0</v>
      </c>
      <c r="AV95" s="239">
        <v>0</v>
      </c>
      <c r="AW95" s="242">
        <v>8968000</v>
      </c>
      <c r="AX95" s="239">
        <v>0</v>
      </c>
      <c r="AY95" s="239">
        <v>0</v>
      </c>
      <c r="AZ95" s="239">
        <v>0</v>
      </c>
      <c r="BA95" s="239">
        <v>0</v>
      </c>
      <c r="BB95" s="239">
        <v>0</v>
      </c>
      <c r="BC95" s="242">
        <v>0</v>
      </c>
      <c r="BD95" s="242">
        <v>8968000</v>
      </c>
      <c r="BE95" s="239">
        <v>17577000</v>
      </c>
      <c r="BF95" s="239">
        <v>0</v>
      </c>
      <c r="BG95" s="239">
        <v>64000</v>
      </c>
      <c r="BH95" s="239">
        <v>0</v>
      </c>
      <c r="BI95" s="239">
        <v>0</v>
      </c>
      <c r="BJ95" s="239">
        <v>1166000</v>
      </c>
      <c r="BK95" s="239">
        <v>0</v>
      </c>
      <c r="BL95" s="242">
        <v>18807000</v>
      </c>
      <c r="BM95" s="242">
        <v>-9839000</v>
      </c>
      <c r="BN95" s="239">
        <v>0</v>
      </c>
      <c r="BO95" s="239">
        <v>0</v>
      </c>
      <c r="BP95" s="239">
        <v>-9839000</v>
      </c>
      <c r="BQ95" s="239">
        <v>0</v>
      </c>
      <c r="BR95" s="239">
        <v>0</v>
      </c>
      <c r="BS95" s="242">
        <v>-9839000</v>
      </c>
      <c r="BT95" s="243">
        <v>-1.097</v>
      </c>
      <c r="BU95" s="243">
        <v>0</v>
      </c>
      <c r="BV95" s="243">
        <v>-1.097</v>
      </c>
      <c r="BW95" s="244">
        <v>0</v>
      </c>
      <c r="BX95" s="245">
        <v>0</v>
      </c>
      <c r="BY95" s="245">
        <v>0</v>
      </c>
      <c r="BZ95" s="246">
        <f t="shared" si="4"/>
        <v>-152.734375</v>
      </c>
      <c r="CA95" s="247">
        <v>0</v>
      </c>
      <c r="CB95" s="247">
        <v>0</v>
      </c>
      <c r="CC95" s="248">
        <v>0</v>
      </c>
      <c r="CD95" s="249">
        <v>0</v>
      </c>
      <c r="CE95" s="247" t="e">
        <f t="shared" si="5"/>
        <v>#DIV/0!</v>
      </c>
      <c r="CF95" s="242">
        <v>-9839000</v>
      </c>
      <c r="CG95" s="243">
        <v>-1.097</v>
      </c>
      <c r="CH95" s="243">
        <v>0</v>
      </c>
      <c r="CI95" s="243">
        <v>-1.097</v>
      </c>
    </row>
    <row r="96" spans="1:87" s="60" customFormat="1" ht="22.8" x14ac:dyDescent="0.3">
      <c r="A96" s="233">
        <v>105</v>
      </c>
      <c r="B96" s="233" t="s">
        <v>149</v>
      </c>
      <c r="C96" s="233" t="s">
        <v>77</v>
      </c>
      <c r="D96" s="233">
        <v>3791</v>
      </c>
      <c r="E96" s="233">
        <v>2025</v>
      </c>
      <c r="F96" s="233" t="s">
        <v>275</v>
      </c>
      <c r="G96" s="233">
        <v>5</v>
      </c>
      <c r="H96" s="233">
        <v>12</v>
      </c>
      <c r="I96" s="233" t="s">
        <v>715</v>
      </c>
      <c r="J96" s="234">
        <v>-30513000</v>
      </c>
      <c r="K96" s="234">
        <v>118296000</v>
      </c>
      <c r="L96" s="234">
        <v>17792000</v>
      </c>
      <c r="M96" s="234">
        <v>78312000</v>
      </c>
      <c r="N96" s="234">
        <v>44770000</v>
      </c>
      <c r="O96" s="234">
        <v>1096000</v>
      </c>
      <c r="P96" s="234">
        <v>15039000</v>
      </c>
      <c r="Q96" s="242">
        <v>244792000</v>
      </c>
      <c r="R96" s="234">
        <v>64591000</v>
      </c>
      <c r="S96" s="234">
        <v>3882000</v>
      </c>
      <c r="T96" s="234">
        <v>0</v>
      </c>
      <c r="U96" s="234">
        <v>0</v>
      </c>
      <c r="V96" s="234">
        <v>702679000</v>
      </c>
      <c r="W96" s="234">
        <v>434266000</v>
      </c>
      <c r="X96" s="242">
        <v>268413000</v>
      </c>
      <c r="Y96" s="234">
        <v>156072000</v>
      </c>
      <c r="Z96" s="242">
        <v>492958000</v>
      </c>
      <c r="AA96" s="242">
        <v>737750000</v>
      </c>
      <c r="AB96" s="234">
        <v>18902000</v>
      </c>
      <c r="AC96" s="234">
        <v>15296000</v>
      </c>
      <c r="AD96" s="234">
        <v>59108000</v>
      </c>
      <c r="AE96" s="234">
        <v>73940000</v>
      </c>
      <c r="AF96" s="242">
        <v>167246000</v>
      </c>
      <c r="AG96" s="234">
        <v>175781000</v>
      </c>
      <c r="AH96" s="234">
        <v>0</v>
      </c>
      <c r="AI96" s="234">
        <v>45543000</v>
      </c>
      <c r="AJ96" s="242">
        <v>221324000</v>
      </c>
      <c r="AK96" s="242">
        <v>388570000</v>
      </c>
      <c r="AL96" s="234">
        <v>219343000</v>
      </c>
      <c r="AM96" s="234">
        <v>129837000</v>
      </c>
      <c r="AN96" s="234">
        <v>0</v>
      </c>
      <c r="AO96" s="242">
        <v>349180000</v>
      </c>
      <c r="AP96" s="242">
        <v>737750000</v>
      </c>
      <c r="AQ96" s="234">
        <v>739366000</v>
      </c>
      <c r="AR96" s="234">
        <v>0</v>
      </c>
      <c r="AS96" s="234">
        <v>39477000</v>
      </c>
      <c r="AT96" s="234">
        <v>0</v>
      </c>
      <c r="AU96" s="234">
        <v>0</v>
      </c>
      <c r="AV96" s="234">
        <v>0</v>
      </c>
      <c r="AW96" s="242">
        <v>778843000</v>
      </c>
      <c r="AX96" s="234">
        <v>10791000</v>
      </c>
      <c r="AY96" s="234">
        <v>-3437000</v>
      </c>
      <c r="AZ96" s="234">
        <v>11774000</v>
      </c>
      <c r="BA96" s="234">
        <v>0</v>
      </c>
      <c r="BB96" s="234">
        <v>-9572000</v>
      </c>
      <c r="BC96" s="242">
        <v>9556000</v>
      </c>
      <c r="BD96" s="242">
        <v>788399000</v>
      </c>
      <c r="BE96" s="234">
        <v>403676000</v>
      </c>
      <c r="BF96" s="234">
        <v>0</v>
      </c>
      <c r="BG96" s="234">
        <v>37910000</v>
      </c>
      <c r="BH96" s="234">
        <v>6463000</v>
      </c>
      <c r="BI96" s="234">
        <v>4571000</v>
      </c>
      <c r="BJ96" s="234">
        <v>320179000</v>
      </c>
      <c r="BK96" s="234">
        <v>0</v>
      </c>
      <c r="BL96" s="242">
        <v>772799000</v>
      </c>
      <c r="BM96" s="242">
        <v>15600000</v>
      </c>
      <c r="BN96" s="234">
        <v>-17796000</v>
      </c>
      <c r="BO96" s="234">
        <v>251000</v>
      </c>
      <c r="BP96" s="234">
        <v>-1945000</v>
      </c>
      <c r="BQ96" s="234">
        <v>3593000</v>
      </c>
      <c r="BR96" s="234">
        <v>0</v>
      </c>
      <c r="BS96" s="242">
        <v>1648000</v>
      </c>
      <c r="BT96" s="243">
        <v>8.0000000000000002E-3</v>
      </c>
      <c r="BU96" s="243">
        <v>1.2E-2</v>
      </c>
      <c r="BV96" s="243">
        <v>0.02</v>
      </c>
      <c r="BW96" s="244">
        <v>1.5</v>
      </c>
      <c r="BX96" s="245">
        <v>39</v>
      </c>
      <c r="BY96" s="245">
        <v>75</v>
      </c>
      <c r="BZ96" s="246">
        <f t="shared" si="4"/>
        <v>0.84839470534394146</v>
      </c>
      <c r="CA96" s="247">
        <v>0.156</v>
      </c>
      <c r="CB96" s="247">
        <v>0.47299999999999998</v>
      </c>
      <c r="CC96" s="248">
        <v>11</v>
      </c>
      <c r="CD96" s="249">
        <v>44</v>
      </c>
      <c r="CE96" s="247">
        <f t="shared" si="5"/>
        <v>0.4448755327441512</v>
      </c>
      <c r="CF96" s="242">
        <v>15600000</v>
      </c>
      <c r="CG96" s="243">
        <v>8.0000000000000002E-3</v>
      </c>
      <c r="CH96" s="243">
        <v>1.2E-2</v>
      </c>
      <c r="CI96" s="243">
        <v>0.02</v>
      </c>
    </row>
    <row r="97" spans="1:87" s="60" customFormat="1" ht="22.8" hidden="1" x14ac:dyDescent="0.3">
      <c r="A97" s="233">
        <v>8644</v>
      </c>
      <c r="B97" s="233" t="s">
        <v>156</v>
      </c>
      <c r="C97" s="233" t="s">
        <v>83</v>
      </c>
      <c r="D97" s="233">
        <v>3791</v>
      </c>
      <c r="E97" s="233">
        <v>2025</v>
      </c>
      <c r="F97" s="233" t="s">
        <v>275</v>
      </c>
      <c r="G97" s="233">
        <v>5</v>
      </c>
      <c r="H97" s="233">
        <v>12</v>
      </c>
      <c r="I97" s="233" t="s">
        <v>715</v>
      </c>
      <c r="J97" s="234">
        <v>0</v>
      </c>
      <c r="K97" s="234">
        <v>0</v>
      </c>
      <c r="L97" s="234">
        <v>0</v>
      </c>
      <c r="M97" s="234">
        <v>0</v>
      </c>
      <c r="N97" s="234">
        <v>0</v>
      </c>
      <c r="O97" s="234">
        <v>0</v>
      </c>
      <c r="P97" s="234">
        <v>0</v>
      </c>
      <c r="Q97" s="242">
        <v>0</v>
      </c>
      <c r="R97" s="234">
        <v>0</v>
      </c>
      <c r="S97" s="234">
        <v>0</v>
      </c>
      <c r="T97" s="234">
        <v>0</v>
      </c>
      <c r="U97" s="234">
        <v>0</v>
      </c>
      <c r="V97" s="234">
        <v>0</v>
      </c>
      <c r="W97" s="234">
        <v>0</v>
      </c>
      <c r="X97" s="242">
        <v>0</v>
      </c>
      <c r="Y97" s="234">
        <v>0</v>
      </c>
      <c r="Z97" s="242">
        <v>0</v>
      </c>
      <c r="AA97" s="242">
        <v>0</v>
      </c>
      <c r="AB97" s="234">
        <v>0</v>
      </c>
      <c r="AC97" s="234">
        <v>0</v>
      </c>
      <c r="AD97" s="234">
        <v>0</v>
      </c>
      <c r="AE97" s="234">
        <v>0</v>
      </c>
      <c r="AF97" s="242">
        <v>0</v>
      </c>
      <c r="AG97" s="234">
        <v>0</v>
      </c>
      <c r="AH97" s="234">
        <v>0</v>
      </c>
      <c r="AI97" s="234">
        <v>0</v>
      </c>
      <c r="AJ97" s="242">
        <v>0</v>
      </c>
      <c r="AK97" s="242">
        <v>0</v>
      </c>
      <c r="AL97" s="234">
        <v>0</v>
      </c>
      <c r="AM97" s="234">
        <v>0</v>
      </c>
      <c r="AN97" s="234">
        <v>0</v>
      </c>
      <c r="AO97" s="242">
        <v>0</v>
      </c>
      <c r="AP97" s="242">
        <v>0</v>
      </c>
      <c r="AQ97" s="234">
        <v>97668000</v>
      </c>
      <c r="AR97" s="234">
        <v>0</v>
      </c>
      <c r="AS97" s="234">
        <v>36682000</v>
      </c>
      <c r="AT97" s="234">
        <v>0</v>
      </c>
      <c r="AU97" s="234">
        <v>0</v>
      </c>
      <c r="AV97" s="234">
        <v>0</v>
      </c>
      <c r="AW97" s="242">
        <v>134350000</v>
      </c>
      <c r="AX97" s="234">
        <v>193000</v>
      </c>
      <c r="AY97" s="234">
        <v>0</v>
      </c>
      <c r="AZ97" s="234">
        <v>0</v>
      </c>
      <c r="BA97" s="234">
        <v>0</v>
      </c>
      <c r="BB97" s="234">
        <v>-38000</v>
      </c>
      <c r="BC97" s="242">
        <v>155000</v>
      </c>
      <c r="BD97" s="242">
        <v>134505000</v>
      </c>
      <c r="BE97" s="234">
        <v>114249000</v>
      </c>
      <c r="BF97" s="234">
        <v>0</v>
      </c>
      <c r="BG97" s="234">
        <v>1499000</v>
      </c>
      <c r="BH97" s="234">
        <v>0</v>
      </c>
      <c r="BI97" s="234">
        <v>0</v>
      </c>
      <c r="BJ97" s="234">
        <v>36042000</v>
      </c>
      <c r="BK97" s="234">
        <v>0</v>
      </c>
      <c r="BL97" s="242">
        <v>151790000</v>
      </c>
      <c r="BM97" s="242">
        <v>-17285000</v>
      </c>
      <c r="BN97" s="234">
        <v>16339000</v>
      </c>
      <c r="BO97" s="234">
        <v>0</v>
      </c>
      <c r="BP97" s="234">
        <v>-946000</v>
      </c>
      <c r="BQ97" s="234">
        <v>0</v>
      </c>
      <c r="BR97" s="234">
        <v>0</v>
      </c>
      <c r="BS97" s="242">
        <v>-946000</v>
      </c>
      <c r="BT97" s="243">
        <v>-0.13</v>
      </c>
      <c r="BU97" s="243">
        <v>1E-3</v>
      </c>
      <c r="BV97" s="243">
        <v>-0.129</v>
      </c>
      <c r="BW97" s="244">
        <v>0</v>
      </c>
      <c r="BX97" s="245">
        <v>0</v>
      </c>
      <c r="BY97" s="245">
        <v>0</v>
      </c>
      <c r="BZ97" s="246">
        <f t="shared" si="4"/>
        <v>-10.531020680453636</v>
      </c>
      <c r="CA97" s="247">
        <v>0</v>
      </c>
      <c r="CB97" s="247">
        <v>0</v>
      </c>
      <c r="CC97" s="248">
        <v>0</v>
      </c>
      <c r="CD97" s="249">
        <v>0</v>
      </c>
      <c r="CE97" s="247" t="e">
        <f t="shared" si="5"/>
        <v>#DIV/0!</v>
      </c>
      <c r="CF97" s="242">
        <v>-17285000</v>
      </c>
      <c r="CG97" s="243">
        <v>-0.13</v>
      </c>
      <c r="CH97" s="243">
        <v>1E-3</v>
      </c>
      <c r="CI97" s="243">
        <v>-0.129</v>
      </c>
    </row>
    <row r="98" spans="1:87" s="60" customFormat="1" ht="22.8" x14ac:dyDescent="0.3">
      <c r="A98" s="233">
        <v>21965</v>
      </c>
      <c r="B98" s="233" t="s">
        <v>207</v>
      </c>
      <c r="C98" s="233" t="s">
        <v>77</v>
      </c>
      <c r="D98" s="233">
        <v>3106</v>
      </c>
      <c r="E98" s="233">
        <v>2025</v>
      </c>
      <c r="F98" s="233" t="s">
        <v>275</v>
      </c>
      <c r="G98" s="233">
        <v>5</v>
      </c>
      <c r="H98" s="233">
        <v>12</v>
      </c>
      <c r="I98" s="233" t="s">
        <v>715</v>
      </c>
      <c r="J98" s="234">
        <v>16051</v>
      </c>
      <c r="K98" s="234">
        <v>0</v>
      </c>
      <c r="L98" s="234">
        <v>0</v>
      </c>
      <c r="M98" s="234">
        <v>4733369</v>
      </c>
      <c r="N98" s="234">
        <v>0</v>
      </c>
      <c r="O98" s="234">
        <v>0</v>
      </c>
      <c r="P98" s="234">
        <v>981568</v>
      </c>
      <c r="Q98" s="242">
        <v>5730988</v>
      </c>
      <c r="R98" s="234">
        <v>257725</v>
      </c>
      <c r="S98" s="234">
        <v>0</v>
      </c>
      <c r="T98" s="234">
        <v>0</v>
      </c>
      <c r="U98" s="234">
        <v>0</v>
      </c>
      <c r="V98" s="234">
        <v>33704765</v>
      </c>
      <c r="W98" s="234">
        <v>14631444</v>
      </c>
      <c r="X98" s="242">
        <v>19073321</v>
      </c>
      <c r="Y98" s="234">
        <v>165927</v>
      </c>
      <c r="Z98" s="242">
        <v>19496973</v>
      </c>
      <c r="AA98" s="242">
        <v>25227961</v>
      </c>
      <c r="AB98" s="234">
        <v>0</v>
      </c>
      <c r="AC98" s="234">
        <v>5572587</v>
      </c>
      <c r="AD98" s="234">
        <v>19630386</v>
      </c>
      <c r="AE98" s="234">
        <v>3144533</v>
      </c>
      <c r="AF98" s="242">
        <v>28347506</v>
      </c>
      <c r="AG98" s="234">
        <v>0</v>
      </c>
      <c r="AH98" s="234">
        <v>0</v>
      </c>
      <c r="AI98" s="234">
        <v>967177</v>
      </c>
      <c r="AJ98" s="242">
        <v>967177</v>
      </c>
      <c r="AK98" s="242">
        <v>29314683</v>
      </c>
      <c r="AL98" s="234">
        <v>-4096722</v>
      </c>
      <c r="AM98" s="234">
        <v>10000</v>
      </c>
      <c r="AN98" s="234">
        <v>0</v>
      </c>
      <c r="AO98" s="242">
        <v>-4086722</v>
      </c>
      <c r="AP98" s="242">
        <v>25227961</v>
      </c>
      <c r="AQ98" s="234">
        <v>46449224</v>
      </c>
      <c r="AR98" s="234">
        <v>0</v>
      </c>
      <c r="AS98" s="234">
        <v>1884437</v>
      </c>
      <c r="AT98" s="234">
        <v>0</v>
      </c>
      <c r="AU98" s="234">
        <v>0</v>
      </c>
      <c r="AV98" s="234">
        <v>0</v>
      </c>
      <c r="AW98" s="242">
        <v>48333661</v>
      </c>
      <c r="AX98" s="234">
        <v>0</v>
      </c>
      <c r="AY98" s="234">
        <v>0</v>
      </c>
      <c r="AZ98" s="234">
        <v>0</v>
      </c>
      <c r="BA98" s="234">
        <v>0</v>
      </c>
      <c r="BB98" s="234">
        <v>0</v>
      </c>
      <c r="BC98" s="242">
        <v>0</v>
      </c>
      <c r="BD98" s="242">
        <v>48333661</v>
      </c>
      <c r="BE98" s="234">
        <v>21480734</v>
      </c>
      <c r="BF98" s="234">
        <v>0</v>
      </c>
      <c r="BG98" s="234">
        <v>2496080</v>
      </c>
      <c r="BH98" s="234">
        <v>0</v>
      </c>
      <c r="BI98" s="234">
        <v>992208</v>
      </c>
      <c r="BJ98" s="234">
        <v>21665055</v>
      </c>
      <c r="BK98" s="234">
        <v>0</v>
      </c>
      <c r="BL98" s="242">
        <v>46634077</v>
      </c>
      <c r="BM98" s="242">
        <v>1699584</v>
      </c>
      <c r="BN98" s="234">
        <v>0</v>
      </c>
      <c r="BO98" s="234">
        <v>0</v>
      </c>
      <c r="BP98" s="234">
        <v>1699584</v>
      </c>
      <c r="BQ98" s="234">
        <v>0</v>
      </c>
      <c r="BR98" s="234">
        <v>0</v>
      </c>
      <c r="BS98" s="242">
        <v>1699584</v>
      </c>
      <c r="BT98" s="243">
        <v>3.5000000000000003E-2</v>
      </c>
      <c r="BU98" s="243">
        <v>0</v>
      </c>
      <c r="BV98" s="243">
        <v>3.5000000000000003E-2</v>
      </c>
      <c r="BW98" s="244">
        <v>0.2</v>
      </c>
      <c r="BX98" s="245">
        <v>37</v>
      </c>
      <c r="BY98" s="245">
        <v>188</v>
      </c>
      <c r="BZ98" s="246">
        <f t="shared" ref="BZ98:BZ129" si="6">(BH98+BM98+BG98-AZ98)/(BG98+AB98)</f>
        <v>1.6809012531649627</v>
      </c>
      <c r="CA98" s="247">
        <v>0.14799999999999999</v>
      </c>
      <c r="CB98" s="247">
        <v>-0.16200000000000001</v>
      </c>
      <c r="CC98" s="248">
        <v>6</v>
      </c>
      <c r="CD98" s="249">
        <v>0</v>
      </c>
      <c r="CE98" s="247">
        <f t="shared" ref="CE98:CE129" si="7">AG98/(AG98+AL98)</f>
        <v>0</v>
      </c>
      <c r="CF98" s="242">
        <v>1699584</v>
      </c>
      <c r="CG98" s="243">
        <v>3.5000000000000003E-2</v>
      </c>
      <c r="CH98" s="243">
        <v>0</v>
      </c>
      <c r="CI98" s="243">
        <v>3.5000000000000003E-2</v>
      </c>
    </row>
    <row r="99" spans="1:87" s="60" customFormat="1" ht="22.8" x14ac:dyDescent="0.3">
      <c r="A99" s="238">
        <v>345</v>
      </c>
      <c r="B99" s="238" t="s">
        <v>150</v>
      </c>
      <c r="C99" s="238" t="s">
        <v>77</v>
      </c>
      <c r="D99" s="238">
        <v>3791</v>
      </c>
      <c r="E99" s="238">
        <v>2025</v>
      </c>
      <c r="F99" s="238" t="s">
        <v>275</v>
      </c>
      <c r="G99" s="238">
        <v>5</v>
      </c>
      <c r="H99" s="238">
        <v>12</v>
      </c>
      <c r="I99" s="238" t="s">
        <v>715</v>
      </c>
      <c r="J99" s="239">
        <v>42738000</v>
      </c>
      <c r="K99" s="239">
        <v>7854000</v>
      </c>
      <c r="L99" s="239">
        <v>18624000</v>
      </c>
      <c r="M99" s="239">
        <v>65823000</v>
      </c>
      <c r="N99" s="239">
        <v>43745000</v>
      </c>
      <c r="O99" s="239">
        <v>8647000</v>
      </c>
      <c r="P99" s="239">
        <v>11089000</v>
      </c>
      <c r="Q99" s="242">
        <v>198520000</v>
      </c>
      <c r="R99" s="239">
        <v>63119000</v>
      </c>
      <c r="S99" s="239">
        <v>840000</v>
      </c>
      <c r="T99" s="239">
        <v>0</v>
      </c>
      <c r="U99" s="239">
        <v>0</v>
      </c>
      <c r="V99" s="239">
        <v>723883000</v>
      </c>
      <c r="W99" s="239">
        <v>380459000</v>
      </c>
      <c r="X99" s="242">
        <v>343424000</v>
      </c>
      <c r="Y99" s="239">
        <v>93155000</v>
      </c>
      <c r="Z99" s="242">
        <v>500538000</v>
      </c>
      <c r="AA99" s="242">
        <v>699058000</v>
      </c>
      <c r="AB99" s="239">
        <v>17659000</v>
      </c>
      <c r="AC99" s="239">
        <v>2817000</v>
      </c>
      <c r="AD99" s="239">
        <v>90818000</v>
      </c>
      <c r="AE99" s="239">
        <v>60078000</v>
      </c>
      <c r="AF99" s="242">
        <v>171372000</v>
      </c>
      <c r="AG99" s="239">
        <v>182442000</v>
      </c>
      <c r="AH99" s="239">
        <v>0</v>
      </c>
      <c r="AI99" s="239">
        <v>21798000</v>
      </c>
      <c r="AJ99" s="242">
        <v>204240000</v>
      </c>
      <c r="AK99" s="242">
        <v>375612000</v>
      </c>
      <c r="AL99" s="239">
        <v>262691000</v>
      </c>
      <c r="AM99" s="239">
        <v>60755000</v>
      </c>
      <c r="AN99" s="239">
        <v>0</v>
      </c>
      <c r="AO99" s="242">
        <v>323446000</v>
      </c>
      <c r="AP99" s="242">
        <v>699058000</v>
      </c>
      <c r="AQ99" s="239">
        <v>684340000</v>
      </c>
      <c r="AR99" s="239">
        <v>0</v>
      </c>
      <c r="AS99" s="239">
        <v>112374000</v>
      </c>
      <c r="AT99" s="239">
        <v>0</v>
      </c>
      <c r="AU99" s="239">
        <v>0</v>
      </c>
      <c r="AV99" s="239">
        <v>0</v>
      </c>
      <c r="AW99" s="242">
        <v>796714000</v>
      </c>
      <c r="AX99" s="239">
        <v>3441000</v>
      </c>
      <c r="AY99" s="239">
        <v>-1113000</v>
      </c>
      <c r="AZ99" s="239">
        <v>5214000</v>
      </c>
      <c r="BA99" s="239">
        <v>0</v>
      </c>
      <c r="BB99" s="239">
        <v>-9965000</v>
      </c>
      <c r="BC99" s="242">
        <v>-2423000</v>
      </c>
      <c r="BD99" s="242">
        <v>794291000</v>
      </c>
      <c r="BE99" s="239">
        <v>366697000</v>
      </c>
      <c r="BF99" s="239">
        <v>0</v>
      </c>
      <c r="BG99" s="239">
        <v>40754000</v>
      </c>
      <c r="BH99" s="239">
        <v>8581000</v>
      </c>
      <c r="BI99" s="239">
        <v>2626000</v>
      </c>
      <c r="BJ99" s="239">
        <v>361417000</v>
      </c>
      <c r="BK99" s="239">
        <v>0</v>
      </c>
      <c r="BL99" s="242">
        <v>780075000</v>
      </c>
      <c r="BM99" s="242">
        <v>14216000</v>
      </c>
      <c r="BN99" s="239">
        <v>-17505000</v>
      </c>
      <c r="BO99" s="239">
        <v>1667000</v>
      </c>
      <c r="BP99" s="239">
        <v>-1622000</v>
      </c>
      <c r="BQ99" s="239">
        <v>2631000</v>
      </c>
      <c r="BR99" s="239">
        <v>0</v>
      </c>
      <c r="BS99" s="242">
        <v>1009000</v>
      </c>
      <c r="BT99" s="243">
        <v>2.1000000000000001E-2</v>
      </c>
      <c r="BU99" s="243">
        <v>-3.0000000000000001E-3</v>
      </c>
      <c r="BV99" s="243">
        <v>1.7999999999999999E-2</v>
      </c>
      <c r="BW99" s="244">
        <v>1.2</v>
      </c>
      <c r="BX99" s="245">
        <v>35</v>
      </c>
      <c r="BY99" s="245">
        <v>83</v>
      </c>
      <c r="BZ99" s="246">
        <f t="shared" si="6"/>
        <v>0.9986989197610121</v>
      </c>
      <c r="CA99" s="247">
        <v>0.155</v>
      </c>
      <c r="CB99" s="247">
        <v>0.46300000000000002</v>
      </c>
      <c r="CC99" s="248">
        <v>9</v>
      </c>
      <c r="CD99" s="249">
        <v>25</v>
      </c>
      <c r="CE99" s="247">
        <f t="shared" si="7"/>
        <v>0.40985952513069129</v>
      </c>
      <c r="CF99" s="242">
        <v>14216000</v>
      </c>
      <c r="CG99" s="243">
        <v>2.1000000000000001E-2</v>
      </c>
      <c r="CH99" s="243">
        <v>-3.0000000000000001E-3</v>
      </c>
      <c r="CI99" s="243">
        <v>1.7999999999999999E-2</v>
      </c>
    </row>
    <row r="100" spans="1:87" s="60" customFormat="1" ht="22.8" hidden="1" x14ac:dyDescent="0.3">
      <c r="A100" s="238">
        <v>11004</v>
      </c>
      <c r="B100" s="238" t="s">
        <v>157</v>
      </c>
      <c r="C100" s="238" t="s">
        <v>83</v>
      </c>
      <c r="D100" s="238">
        <v>3791</v>
      </c>
      <c r="E100" s="238">
        <v>2025</v>
      </c>
      <c r="F100" s="238" t="s">
        <v>275</v>
      </c>
      <c r="G100" s="238">
        <v>5</v>
      </c>
      <c r="H100" s="238">
        <v>12</v>
      </c>
      <c r="I100" s="238" t="s">
        <v>715</v>
      </c>
      <c r="J100" s="239">
        <v>0</v>
      </c>
      <c r="K100" s="239">
        <v>0</v>
      </c>
      <c r="L100" s="239">
        <v>0</v>
      </c>
      <c r="M100" s="239">
        <v>0</v>
      </c>
      <c r="N100" s="239">
        <v>0</v>
      </c>
      <c r="O100" s="239">
        <v>0</v>
      </c>
      <c r="P100" s="239">
        <v>0</v>
      </c>
      <c r="Q100" s="242">
        <v>0</v>
      </c>
      <c r="R100" s="239">
        <v>0</v>
      </c>
      <c r="S100" s="239">
        <v>0</v>
      </c>
      <c r="T100" s="239">
        <v>0</v>
      </c>
      <c r="U100" s="239">
        <v>0</v>
      </c>
      <c r="V100" s="239">
        <v>0</v>
      </c>
      <c r="W100" s="239">
        <v>0</v>
      </c>
      <c r="X100" s="242">
        <v>0</v>
      </c>
      <c r="Y100" s="239">
        <v>0</v>
      </c>
      <c r="Z100" s="242">
        <v>0</v>
      </c>
      <c r="AA100" s="242">
        <v>0</v>
      </c>
      <c r="AB100" s="239">
        <v>0</v>
      </c>
      <c r="AC100" s="239">
        <v>0</v>
      </c>
      <c r="AD100" s="239">
        <v>0</v>
      </c>
      <c r="AE100" s="239">
        <v>0</v>
      </c>
      <c r="AF100" s="242">
        <v>0</v>
      </c>
      <c r="AG100" s="239">
        <v>0</v>
      </c>
      <c r="AH100" s="239">
        <v>0</v>
      </c>
      <c r="AI100" s="239">
        <v>0</v>
      </c>
      <c r="AJ100" s="242">
        <v>0</v>
      </c>
      <c r="AK100" s="242">
        <v>0</v>
      </c>
      <c r="AL100" s="239">
        <v>0</v>
      </c>
      <c r="AM100" s="239">
        <v>0</v>
      </c>
      <c r="AN100" s="239">
        <v>0</v>
      </c>
      <c r="AO100" s="242">
        <v>0</v>
      </c>
      <c r="AP100" s="242">
        <v>0</v>
      </c>
      <c r="AQ100" s="239">
        <v>193031000</v>
      </c>
      <c r="AR100" s="239">
        <v>0</v>
      </c>
      <c r="AS100" s="239">
        <v>49910000</v>
      </c>
      <c r="AT100" s="239">
        <v>0</v>
      </c>
      <c r="AU100" s="239">
        <v>0</v>
      </c>
      <c r="AV100" s="239">
        <v>0</v>
      </c>
      <c r="AW100" s="242">
        <v>242941000</v>
      </c>
      <c r="AX100" s="239">
        <v>-467000</v>
      </c>
      <c r="AY100" s="239">
        <v>0</v>
      </c>
      <c r="AZ100" s="239">
        <v>-4000</v>
      </c>
      <c r="BA100" s="239">
        <v>0</v>
      </c>
      <c r="BB100" s="239">
        <v>9000</v>
      </c>
      <c r="BC100" s="242">
        <v>-462000</v>
      </c>
      <c r="BD100" s="242">
        <v>242479000</v>
      </c>
      <c r="BE100" s="239">
        <v>217159000</v>
      </c>
      <c r="BF100" s="239">
        <v>0</v>
      </c>
      <c r="BG100" s="239">
        <v>2551000</v>
      </c>
      <c r="BH100" s="239">
        <v>7000</v>
      </c>
      <c r="BI100" s="239">
        <v>0</v>
      </c>
      <c r="BJ100" s="239">
        <v>43228000</v>
      </c>
      <c r="BK100" s="239">
        <v>0</v>
      </c>
      <c r="BL100" s="242">
        <v>262945000</v>
      </c>
      <c r="BM100" s="242">
        <v>-20466000</v>
      </c>
      <c r="BN100" s="239">
        <v>16303000</v>
      </c>
      <c r="BO100" s="239">
        <v>0</v>
      </c>
      <c r="BP100" s="239">
        <v>-4163000</v>
      </c>
      <c r="BQ100" s="239">
        <v>0</v>
      </c>
      <c r="BR100" s="239">
        <v>0</v>
      </c>
      <c r="BS100" s="242">
        <v>-4163000</v>
      </c>
      <c r="BT100" s="243">
        <v>-8.2000000000000003E-2</v>
      </c>
      <c r="BU100" s="243">
        <v>-2E-3</v>
      </c>
      <c r="BV100" s="243">
        <v>-8.4000000000000005E-2</v>
      </c>
      <c r="BW100" s="244">
        <v>0</v>
      </c>
      <c r="BX100" s="245">
        <v>0</v>
      </c>
      <c r="BY100" s="245">
        <v>0</v>
      </c>
      <c r="BZ100" s="246">
        <f t="shared" si="6"/>
        <v>-7.018424147393179</v>
      </c>
      <c r="CA100" s="247">
        <v>0</v>
      </c>
      <c r="CB100" s="247">
        <v>0</v>
      </c>
      <c r="CC100" s="248">
        <v>0</v>
      </c>
      <c r="CD100" s="249">
        <v>0</v>
      </c>
      <c r="CE100" s="247" t="e">
        <f t="shared" si="7"/>
        <v>#DIV/0!</v>
      </c>
      <c r="CF100" s="242">
        <v>-20466000</v>
      </c>
      <c r="CG100" s="243">
        <v>-8.2000000000000003E-2</v>
      </c>
      <c r="CH100" s="243">
        <v>-2E-3</v>
      </c>
      <c r="CI100" s="243">
        <v>-8.4000000000000005E-2</v>
      </c>
    </row>
    <row r="101" spans="1:87" s="60" customFormat="1" ht="22.8" x14ac:dyDescent="0.3">
      <c r="A101" s="233">
        <v>3112</v>
      </c>
      <c r="B101" s="233" t="s">
        <v>100</v>
      </c>
      <c r="C101" s="233" t="s">
        <v>77</v>
      </c>
      <c r="D101" s="233">
        <v>16665</v>
      </c>
      <c r="E101" s="233">
        <v>2025</v>
      </c>
      <c r="F101" s="233" t="s">
        <v>275</v>
      </c>
      <c r="G101" s="233">
        <v>5</v>
      </c>
      <c r="H101" s="233">
        <v>12</v>
      </c>
      <c r="I101" s="233" t="s">
        <v>715</v>
      </c>
      <c r="J101" s="234">
        <v>769000</v>
      </c>
      <c r="K101" s="234">
        <v>261441000</v>
      </c>
      <c r="L101" s="234">
        <v>0</v>
      </c>
      <c r="M101" s="234">
        <v>57770000</v>
      </c>
      <c r="N101" s="234">
        <v>176172000</v>
      </c>
      <c r="O101" s="234">
        <v>0</v>
      </c>
      <c r="P101" s="234">
        <v>22753000</v>
      </c>
      <c r="Q101" s="242">
        <v>518905000</v>
      </c>
      <c r="R101" s="234">
        <v>24979000</v>
      </c>
      <c r="S101" s="234">
        <v>558000</v>
      </c>
      <c r="T101" s="234">
        <v>0</v>
      </c>
      <c r="U101" s="234">
        <v>0</v>
      </c>
      <c r="V101" s="234">
        <v>454385000</v>
      </c>
      <c r="W101" s="234">
        <v>338785000</v>
      </c>
      <c r="X101" s="242">
        <v>115600000</v>
      </c>
      <c r="Y101" s="234">
        <v>9547000</v>
      </c>
      <c r="Z101" s="242">
        <v>150684000</v>
      </c>
      <c r="AA101" s="242">
        <v>669589000</v>
      </c>
      <c r="AB101" s="234">
        <v>3985000</v>
      </c>
      <c r="AC101" s="234">
        <v>18092000</v>
      </c>
      <c r="AD101" s="234">
        <v>0</v>
      </c>
      <c r="AE101" s="234">
        <v>40796000</v>
      </c>
      <c r="AF101" s="242">
        <v>62873000</v>
      </c>
      <c r="AG101" s="234">
        <v>99358000</v>
      </c>
      <c r="AH101" s="234">
        <v>0</v>
      </c>
      <c r="AI101" s="234">
        <v>27623000</v>
      </c>
      <c r="AJ101" s="242">
        <v>126981000</v>
      </c>
      <c r="AK101" s="242">
        <v>189854000</v>
      </c>
      <c r="AL101" s="234">
        <v>445490000</v>
      </c>
      <c r="AM101" s="234">
        <v>21851000</v>
      </c>
      <c r="AN101" s="234">
        <v>12394000</v>
      </c>
      <c r="AO101" s="242">
        <v>479735000</v>
      </c>
      <c r="AP101" s="242">
        <v>669589000</v>
      </c>
      <c r="AQ101" s="234">
        <v>459160000</v>
      </c>
      <c r="AR101" s="234">
        <v>0</v>
      </c>
      <c r="AS101" s="234">
        <v>244846000</v>
      </c>
      <c r="AT101" s="234">
        <v>0</v>
      </c>
      <c r="AU101" s="234">
        <v>0</v>
      </c>
      <c r="AV101" s="234">
        <v>0</v>
      </c>
      <c r="AW101" s="242">
        <v>704006000</v>
      </c>
      <c r="AX101" s="234">
        <v>2225000</v>
      </c>
      <c r="AY101" s="234">
        <v>0</v>
      </c>
      <c r="AZ101" s="234">
        <v>20758000</v>
      </c>
      <c r="BA101" s="234">
        <v>-2954000</v>
      </c>
      <c r="BB101" s="234">
        <v>0</v>
      </c>
      <c r="BC101" s="242">
        <v>20029000</v>
      </c>
      <c r="BD101" s="242">
        <v>724035000</v>
      </c>
      <c r="BE101" s="234">
        <v>245196000</v>
      </c>
      <c r="BF101" s="234">
        <v>0</v>
      </c>
      <c r="BG101" s="234">
        <v>17499000</v>
      </c>
      <c r="BH101" s="234">
        <v>1774000</v>
      </c>
      <c r="BI101" s="234">
        <v>9417000</v>
      </c>
      <c r="BJ101" s="234">
        <v>328923000</v>
      </c>
      <c r="BK101" s="234">
        <v>0</v>
      </c>
      <c r="BL101" s="242">
        <v>602809000</v>
      </c>
      <c r="BM101" s="242">
        <v>121226000</v>
      </c>
      <c r="BN101" s="234">
        <v>-6969000</v>
      </c>
      <c r="BO101" s="234">
        <v>467000</v>
      </c>
      <c r="BP101" s="234">
        <v>114724000</v>
      </c>
      <c r="BQ101" s="234">
        <v>14139000</v>
      </c>
      <c r="BR101" s="234">
        <v>0</v>
      </c>
      <c r="BS101" s="242">
        <v>128863000</v>
      </c>
      <c r="BT101" s="243">
        <v>0.14000000000000001</v>
      </c>
      <c r="BU101" s="243">
        <v>2.8000000000000001E-2</v>
      </c>
      <c r="BV101" s="243">
        <v>0.16700000000000001</v>
      </c>
      <c r="BW101" s="244">
        <v>8.3000000000000007</v>
      </c>
      <c r="BX101" s="245">
        <v>46</v>
      </c>
      <c r="BY101" s="245">
        <v>28</v>
      </c>
      <c r="BZ101" s="246">
        <f t="shared" si="6"/>
        <v>5.5734965555762424</v>
      </c>
      <c r="CA101" s="247">
        <v>0.72699999999999998</v>
      </c>
      <c r="CB101" s="247">
        <v>0.71599999999999997</v>
      </c>
      <c r="CC101" s="248">
        <v>19</v>
      </c>
      <c r="CD101" s="249">
        <v>164</v>
      </c>
      <c r="CE101" s="247">
        <f t="shared" si="7"/>
        <v>0.18235911667107157</v>
      </c>
      <c r="CF101" s="242">
        <v>121226000</v>
      </c>
      <c r="CG101" s="243">
        <v>0.14000000000000001</v>
      </c>
      <c r="CH101" s="243">
        <v>2.8000000000000001E-2</v>
      </c>
      <c r="CI101" s="243">
        <v>0.16700000000000001</v>
      </c>
    </row>
    <row r="102" spans="1:87" s="60" customFormat="1" ht="22.8" hidden="1" x14ac:dyDescent="0.3">
      <c r="A102" s="233">
        <v>11408</v>
      </c>
      <c r="B102" s="233" t="s">
        <v>110</v>
      </c>
      <c r="C102" s="233" t="s">
        <v>83</v>
      </c>
      <c r="D102" s="233">
        <v>16665</v>
      </c>
      <c r="E102" s="233">
        <v>2025</v>
      </c>
      <c r="F102" s="233" t="s">
        <v>275</v>
      </c>
      <c r="G102" s="233">
        <v>5</v>
      </c>
      <c r="H102" s="233">
        <v>12</v>
      </c>
      <c r="I102" s="233" t="s">
        <v>715</v>
      </c>
      <c r="J102" s="234">
        <v>0</v>
      </c>
      <c r="K102" s="234">
        <v>0</v>
      </c>
      <c r="L102" s="234">
        <v>0</v>
      </c>
      <c r="M102" s="234">
        <v>0</v>
      </c>
      <c r="N102" s="234">
        <v>0</v>
      </c>
      <c r="O102" s="234">
        <v>0</v>
      </c>
      <c r="P102" s="234">
        <v>0</v>
      </c>
      <c r="Q102" s="242">
        <v>0</v>
      </c>
      <c r="R102" s="234">
        <v>0</v>
      </c>
      <c r="S102" s="234">
        <v>0</v>
      </c>
      <c r="T102" s="234">
        <v>0</v>
      </c>
      <c r="U102" s="234">
        <v>0</v>
      </c>
      <c r="V102" s="234">
        <v>0</v>
      </c>
      <c r="W102" s="234">
        <v>0</v>
      </c>
      <c r="X102" s="242">
        <v>0</v>
      </c>
      <c r="Y102" s="234">
        <v>0</v>
      </c>
      <c r="Z102" s="242">
        <v>0</v>
      </c>
      <c r="AA102" s="242">
        <v>0</v>
      </c>
      <c r="AB102" s="234">
        <v>0</v>
      </c>
      <c r="AC102" s="234">
        <v>0</v>
      </c>
      <c r="AD102" s="234">
        <v>0</v>
      </c>
      <c r="AE102" s="234">
        <v>0</v>
      </c>
      <c r="AF102" s="242">
        <v>0</v>
      </c>
      <c r="AG102" s="234">
        <v>0</v>
      </c>
      <c r="AH102" s="234">
        <v>0</v>
      </c>
      <c r="AI102" s="234">
        <v>0</v>
      </c>
      <c r="AJ102" s="242">
        <v>0</v>
      </c>
      <c r="AK102" s="242">
        <v>0</v>
      </c>
      <c r="AL102" s="234">
        <v>0</v>
      </c>
      <c r="AM102" s="234">
        <v>0</v>
      </c>
      <c r="AN102" s="234">
        <v>0</v>
      </c>
      <c r="AO102" s="242">
        <v>0</v>
      </c>
      <c r="AP102" s="242">
        <v>0</v>
      </c>
      <c r="AQ102" s="234">
        <v>64881000</v>
      </c>
      <c r="AR102" s="234">
        <v>0</v>
      </c>
      <c r="AS102" s="234">
        <v>2833000</v>
      </c>
      <c r="AT102" s="234">
        <v>0</v>
      </c>
      <c r="AU102" s="234">
        <v>0</v>
      </c>
      <c r="AV102" s="234">
        <v>0</v>
      </c>
      <c r="AW102" s="242">
        <v>67714000</v>
      </c>
      <c r="AX102" s="234">
        <v>0</v>
      </c>
      <c r="AY102" s="234">
        <v>0</v>
      </c>
      <c r="AZ102" s="234">
        <v>0</v>
      </c>
      <c r="BA102" s="234">
        <v>-603000</v>
      </c>
      <c r="BB102" s="234">
        <v>0</v>
      </c>
      <c r="BC102" s="242">
        <v>-603000</v>
      </c>
      <c r="BD102" s="242">
        <v>67111000</v>
      </c>
      <c r="BE102" s="234">
        <v>66178000</v>
      </c>
      <c r="BF102" s="234">
        <v>0</v>
      </c>
      <c r="BG102" s="234">
        <v>328000</v>
      </c>
      <c r="BH102" s="234">
        <v>0</v>
      </c>
      <c r="BI102" s="234">
        <v>0</v>
      </c>
      <c r="BJ102" s="234">
        <v>35997000</v>
      </c>
      <c r="BK102" s="234">
        <v>0</v>
      </c>
      <c r="BL102" s="242">
        <v>102503000</v>
      </c>
      <c r="BM102" s="242">
        <v>-35392000</v>
      </c>
      <c r="BN102" s="234">
        <v>6969000</v>
      </c>
      <c r="BO102" s="234">
        <v>0</v>
      </c>
      <c r="BP102" s="234">
        <v>-28423000</v>
      </c>
      <c r="BQ102" s="234">
        <v>0</v>
      </c>
      <c r="BR102" s="234">
        <v>0</v>
      </c>
      <c r="BS102" s="242">
        <v>-28423000</v>
      </c>
      <c r="BT102" s="243">
        <v>-0.51800000000000002</v>
      </c>
      <c r="BU102" s="243">
        <v>-8.9999999999999993E-3</v>
      </c>
      <c r="BV102" s="243">
        <v>-0.52700000000000002</v>
      </c>
      <c r="BW102" s="244">
        <v>0</v>
      </c>
      <c r="BX102" s="245">
        <v>0</v>
      </c>
      <c r="BY102" s="245">
        <v>0</v>
      </c>
      <c r="BZ102" s="246">
        <f t="shared" si="6"/>
        <v>-106.90243902439025</v>
      </c>
      <c r="CA102" s="247">
        <v>0</v>
      </c>
      <c r="CB102" s="247">
        <v>0</v>
      </c>
      <c r="CC102" s="248">
        <v>0</v>
      </c>
      <c r="CD102" s="249">
        <v>0</v>
      </c>
      <c r="CE102" s="247" t="e">
        <f t="shared" si="7"/>
        <v>#DIV/0!</v>
      </c>
      <c r="CF102" s="242">
        <v>-35392000</v>
      </c>
      <c r="CG102" s="243">
        <v>-0.51800000000000002</v>
      </c>
      <c r="CH102" s="243">
        <v>-8.9999999999999993E-3</v>
      </c>
      <c r="CI102" s="243">
        <v>-0.52700000000000002</v>
      </c>
    </row>
    <row r="103" spans="1:87" s="60" customFormat="1" ht="22.8" hidden="1" x14ac:dyDescent="0.3">
      <c r="A103" s="233">
        <v>8745</v>
      </c>
      <c r="B103" s="233" t="s">
        <v>158</v>
      </c>
      <c r="C103" s="233" t="s">
        <v>83</v>
      </c>
      <c r="D103" s="233">
        <v>3791</v>
      </c>
      <c r="E103" s="233">
        <v>2025</v>
      </c>
      <c r="F103" s="233" t="s">
        <v>275</v>
      </c>
      <c r="G103" s="233">
        <v>5</v>
      </c>
      <c r="H103" s="233">
        <v>12</v>
      </c>
      <c r="I103" s="233" t="s">
        <v>715</v>
      </c>
      <c r="J103" s="234">
        <v>0</v>
      </c>
      <c r="K103" s="234">
        <v>0</v>
      </c>
      <c r="L103" s="234">
        <v>0</v>
      </c>
      <c r="M103" s="234">
        <v>0</v>
      </c>
      <c r="N103" s="234">
        <v>0</v>
      </c>
      <c r="O103" s="234">
        <v>0</v>
      </c>
      <c r="P103" s="234">
        <v>0</v>
      </c>
      <c r="Q103" s="242">
        <v>0</v>
      </c>
      <c r="R103" s="234">
        <v>0</v>
      </c>
      <c r="S103" s="234">
        <v>0</v>
      </c>
      <c r="T103" s="234">
        <v>0</v>
      </c>
      <c r="U103" s="234">
        <v>0</v>
      </c>
      <c r="V103" s="234">
        <v>0</v>
      </c>
      <c r="W103" s="234">
        <v>0</v>
      </c>
      <c r="X103" s="242">
        <v>0</v>
      </c>
      <c r="Y103" s="234">
        <v>0</v>
      </c>
      <c r="Z103" s="242">
        <v>0</v>
      </c>
      <c r="AA103" s="242">
        <v>0</v>
      </c>
      <c r="AB103" s="234">
        <v>0</v>
      </c>
      <c r="AC103" s="234">
        <v>0</v>
      </c>
      <c r="AD103" s="234">
        <v>0</v>
      </c>
      <c r="AE103" s="234">
        <v>0</v>
      </c>
      <c r="AF103" s="242">
        <v>0</v>
      </c>
      <c r="AG103" s="234">
        <v>0</v>
      </c>
      <c r="AH103" s="234">
        <v>0</v>
      </c>
      <c r="AI103" s="234">
        <v>0</v>
      </c>
      <c r="AJ103" s="242">
        <v>0</v>
      </c>
      <c r="AK103" s="242">
        <v>0</v>
      </c>
      <c r="AL103" s="234">
        <v>0</v>
      </c>
      <c r="AM103" s="234">
        <v>0</v>
      </c>
      <c r="AN103" s="234">
        <v>0</v>
      </c>
      <c r="AO103" s="242">
        <v>0</v>
      </c>
      <c r="AP103" s="242">
        <v>0</v>
      </c>
      <c r="AQ103" s="234">
        <v>206232000</v>
      </c>
      <c r="AR103" s="234">
        <v>0</v>
      </c>
      <c r="AS103" s="234">
        <v>66827000</v>
      </c>
      <c r="AT103" s="234">
        <v>0</v>
      </c>
      <c r="AU103" s="234">
        <v>0</v>
      </c>
      <c r="AV103" s="234">
        <v>0</v>
      </c>
      <c r="AW103" s="242">
        <v>273059000</v>
      </c>
      <c r="AX103" s="234">
        <v>7100000</v>
      </c>
      <c r="AY103" s="234">
        <v>0</v>
      </c>
      <c r="AZ103" s="234">
        <v>1257000</v>
      </c>
      <c r="BA103" s="234">
        <v>0</v>
      </c>
      <c r="BB103" s="234">
        <v>0</v>
      </c>
      <c r="BC103" s="242">
        <v>8357000</v>
      </c>
      <c r="BD103" s="242">
        <v>281416000</v>
      </c>
      <c r="BE103" s="234">
        <v>120061000</v>
      </c>
      <c r="BF103" s="234">
        <v>0</v>
      </c>
      <c r="BG103" s="234">
        <v>1800000</v>
      </c>
      <c r="BH103" s="234">
        <v>45000</v>
      </c>
      <c r="BI103" s="234">
        <v>0</v>
      </c>
      <c r="BJ103" s="234">
        <v>167252000</v>
      </c>
      <c r="BK103" s="234">
        <v>0</v>
      </c>
      <c r="BL103" s="242">
        <v>289158000</v>
      </c>
      <c r="BM103" s="242">
        <v>-7742000</v>
      </c>
      <c r="BN103" s="234">
        <v>180000</v>
      </c>
      <c r="BO103" s="234">
        <v>0</v>
      </c>
      <c r="BP103" s="234">
        <v>-7562000</v>
      </c>
      <c r="BQ103" s="234">
        <v>22000</v>
      </c>
      <c r="BR103" s="234">
        <v>0</v>
      </c>
      <c r="BS103" s="242">
        <v>-7540000</v>
      </c>
      <c r="BT103" s="243">
        <v>-5.7000000000000002E-2</v>
      </c>
      <c r="BU103" s="243">
        <v>0.03</v>
      </c>
      <c r="BV103" s="243">
        <v>-2.8000000000000001E-2</v>
      </c>
      <c r="BW103" s="244">
        <v>0</v>
      </c>
      <c r="BX103" s="245">
        <v>0</v>
      </c>
      <c r="BY103" s="245">
        <v>0</v>
      </c>
      <c r="BZ103" s="246">
        <f t="shared" si="6"/>
        <v>-3.9744444444444444</v>
      </c>
      <c r="CA103" s="247">
        <v>0</v>
      </c>
      <c r="CB103" s="247">
        <v>0</v>
      </c>
      <c r="CC103" s="248">
        <v>0</v>
      </c>
      <c r="CD103" s="249">
        <v>0</v>
      </c>
      <c r="CE103" s="247" t="e">
        <f t="shared" si="7"/>
        <v>#DIV/0!</v>
      </c>
      <c r="CF103" s="242">
        <v>-7742000</v>
      </c>
      <c r="CG103" s="243">
        <v>-5.7000000000000002E-2</v>
      </c>
      <c r="CH103" s="243">
        <v>0.03</v>
      </c>
      <c r="CI103" s="243">
        <v>-2.8000000000000001E-2</v>
      </c>
    </row>
    <row r="104" spans="1:87" s="60" customFormat="1" ht="34.200000000000003" hidden="1" x14ac:dyDescent="0.3">
      <c r="A104" s="238">
        <v>14426</v>
      </c>
      <c r="B104" s="238" t="s">
        <v>116</v>
      </c>
      <c r="C104" s="238" t="s">
        <v>83</v>
      </c>
      <c r="D104" s="238">
        <v>14286</v>
      </c>
      <c r="E104" s="238">
        <v>2025</v>
      </c>
      <c r="F104" s="238" t="s">
        <v>275</v>
      </c>
      <c r="G104" s="238">
        <v>5</v>
      </c>
      <c r="H104" s="238">
        <v>12</v>
      </c>
      <c r="I104" s="238" t="s">
        <v>715</v>
      </c>
      <c r="J104" s="239">
        <v>0</v>
      </c>
      <c r="K104" s="239">
        <v>0</v>
      </c>
      <c r="L104" s="239">
        <v>0</v>
      </c>
      <c r="M104" s="239">
        <v>0</v>
      </c>
      <c r="N104" s="239">
        <v>0</v>
      </c>
      <c r="O104" s="239">
        <v>0</v>
      </c>
      <c r="P104" s="239">
        <v>0</v>
      </c>
      <c r="Q104" s="242">
        <v>0</v>
      </c>
      <c r="R104" s="239">
        <v>0</v>
      </c>
      <c r="S104" s="239">
        <v>0</v>
      </c>
      <c r="T104" s="239">
        <v>0</v>
      </c>
      <c r="U104" s="239">
        <v>0</v>
      </c>
      <c r="V104" s="239">
        <v>0</v>
      </c>
      <c r="W104" s="239">
        <v>0</v>
      </c>
      <c r="X104" s="242">
        <v>0</v>
      </c>
      <c r="Y104" s="239">
        <v>0</v>
      </c>
      <c r="Z104" s="242">
        <v>0</v>
      </c>
      <c r="AA104" s="242">
        <v>0</v>
      </c>
      <c r="AB104" s="239">
        <v>0</v>
      </c>
      <c r="AC104" s="239">
        <v>0</v>
      </c>
      <c r="AD104" s="239">
        <v>0</v>
      </c>
      <c r="AE104" s="239">
        <v>0</v>
      </c>
      <c r="AF104" s="242">
        <v>0</v>
      </c>
      <c r="AG104" s="239">
        <v>0</v>
      </c>
      <c r="AH104" s="239">
        <v>0</v>
      </c>
      <c r="AI104" s="239">
        <v>0</v>
      </c>
      <c r="AJ104" s="242">
        <v>0</v>
      </c>
      <c r="AK104" s="242">
        <v>0</v>
      </c>
      <c r="AL104" s="239">
        <v>0</v>
      </c>
      <c r="AM104" s="239">
        <v>0</v>
      </c>
      <c r="AN104" s="239">
        <v>0</v>
      </c>
      <c r="AO104" s="242">
        <v>0</v>
      </c>
      <c r="AP104" s="242">
        <v>0</v>
      </c>
      <c r="AQ104" s="239">
        <v>944696000</v>
      </c>
      <c r="AR104" s="239">
        <v>0</v>
      </c>
      <c r="AS104" s="239">
        <v>207001000</v>
      </c>
      <c r="AT104" s="239">
        <v>0</v>
      </c>
      <c r="AU104" s="239">
        <v>0</v>
      </c>
      <c r="AV104" s="239">
        <v>28343000</v>
      </c>
      <c r="AW104" s="242">
        <v>1180040000</v>
      </c>
      <c r="AX104" s="239">
        <v>20036000</v>
      </c>
      <c r="AY104" s="239">
        <v>0</v>
      </c>
      <c r="AZ104" s="239">
        <v>0</v>
      </c>
      <c r="BA104" s="239">
        <v>100955000</v>
      </c>
      <c r="BB104" s="239">
        <v>20884000</v>
      </c>
      <c r="BC104" s="242">
        <v>141875000</v>
      </c>
      <c r="BD104" s="242">
        <v>1321915000</v>
      </c>
      <c r="BE104" s="239">
        <v>960896000</v>
      </c>
      <c r="BF104" s="239">
        <v>0</v>
      </c>
      <c r="BG104" s="239">
        <v>1287000</v>
      </c>
      <c r="BH104" s="239">
        <v>0</v>
      </c>
      <c r="BI104" s="239">
        <v>0</v>
      </c>
      <c r="BJ104" s="239">
        <v>185925000</v>
      </c>
      <c r="BK104" s="239">
        <v>0</v>
      </c>
      <c r="BL104" s="242">
        <v>1148108000</v>
      </c>
      <c r="BM104" s="242">
        <v>173807000</v>
      </c>
      <c r="BN104" s="239">
        <v>0</v>
      </c>
      <c r="BO104" s="239">
        <v>0</v>
      </c>
      <c r="BP104" s="239">
        <v>173807000</v>
      </c>
      <c r="BQ104" s="239">
        <v>21450000</v>
      </c>
      <c r="BR104" s="239">
        <v>0</v>
      </c>
      <c r="BS104" s="242">
        <v>195257000</v>
      </c>
      <c r="BT104" s="243">
        <v>2.4E-2</v>
      </c>
      <c r="BU104" s="243">
        <v>0.107</v>
      </c>
      <c r="BV104" s="243">
        <v>0.13100000000000001</v>
      </c>
      <c r="BW104" s="244">
        <v>0</v>
      </c>
      <c r="BX104" s="245">
        <v>0</v>
      </c>
      <c r="BY104" s="245">
        <v>0</v>
      </c>
      <c r="BZ104" s="246">
        <f t="shared" si="6"/>
        <v>136.04817404817405</v>
      </c>
      <c r="CA104" s="247">
        <v>0</v>
      </c>
      <c r="CB104" s="247">
        <v>0</v>
      </c>
      <c r="CC104" s="248">
        <v>0</v>
      </c>
      <c r="CD104" s="249">
        <v>0</v>
      </c>
      <c r="CE104" s="247" t="e">
        <f t="shared" si="7"/>
        <v>#DIV/0!</v>
      </c>
      <c r="CF104" s="242">
        <v>173807000</v>
      </c>
      <c r="CG104" s="243">
        <v>2.4E-2</v>
      </c>
      <c r="CH104" s="243">
        <v>0.107</v>
      </c>
      <c r="CI104" s="243">
        <v>0.13100000000000001</v>
      </c>
    </row>
    <row r="105" spans="1:87" s="60" customFormat="1" ht="34.200000000000003" hidden="1" x14ac:dyDescent="0.3">
      <c r="A105" s="238">
        <v>16532</v>
      </c>
      <c r="B105" s="238" t="s">
        <v>188</v>
      </c>
      <c r="C105" s="238" t="s">
        <v>83</v>
      </c>
      <c r="D105" s="238">
        <v>14288</v>
      </c>
      <c r="E105" s="238">
        <v>2025</v>
      </c>
      <c r="F105" s="238" t="s">
        <v>276</v>
      </c>
      <c r="G105" s="238">
        <v>5</v>
      </c>
      <c r="H105" s="238">
        <v>12</v>
      </c>
      <c r="I105" s="238" t="s">
        <v>716</v>
      </c>
      <c r="J105" s="239">
        <v>0</v>
      </c>
      <c r="K105" s="239">
        <v>0</v>
      </c>
      <c r="L105" s="239">
        <v>0</v>
      </c>
      <c r="M105" s="239">
        <v>0</v>
      </c>
      <c r="N105" s="239">
        <v>0</v>
      </c>
      <c r="O105" s="239">
        <v>0</v>
      </c>
      <c r="P105" s="239">
        <v>0</v>
      </c>
      <c r="Q105" s="242">
        <v>0</v>
      </c>
      <c r="R105" s="239">
        <v>0</v>
      </c>
      <c r="S105" s="239">
        <v>0</v>
      </c>
      <c r="T105" s="239">
        <v>0</v>
      </c>
      <c r="U105" s="239">
        <v>0</v>
      </c>
      <c r="V105" s="239">
        <v>0</v>
      </c>
      <c r="W105" s="239">
        <v>0</v>
      </c>
      <c r="X105" s="242">
        <v>0</v>
      </c>
      <c r="Y105" s="239">
        <v>0</v>
      </c>
      <c r="Z105" s="242">
        <v>0</v>
      </c>
      <c r="AA105" s="242">
        <v>0</v>
      </c>
      <c r="AB105" s="239">
        <v>0</v>
      </c>
      <c r="AC105" s="239">
        <v>0</v>
      </c>
      <c r="AD105" s="239">
        <v>0</v>
      </c>
      <c r="AE105" s="239">
        <v>0</v>
      </c>
      <c r="AF105" s="242">
        <v>0</v>
      </c>
      <c r="AG105" s="239">
        <v>0</v>
      </c>
      <c r="AH105" s="239">
        <v>0</v>
      </c>
      <c r="AI105" s="239">
        <v>0</v>
      </c>
      <c r="AJ105" s="242">
        <v>0</v>
      </c>
      <c r="AK105" s="242">
        <v>0</v>
      </c>
      <c r="AL105" s="239">
        <v>0</v>
      </c>
      <c r="AM105" s="239">
        <v>0</v>
      </c>
      <c r="AN105" s="239">
        <v>0</v>
      </c>
      <c r="AO105" s="242">
        <v>0</v>
      </c>
      <c r="AP105" s="242">
        <v>0</v>
      </c>
      <c r="AQ105" s="239">
        <v>7669172</v>
      </c>
      <c r="AR105" s="239">
        <v>0</v>
      </c>
      <c r="AS105" s="239">
        <v>1673</v>
      </c>
      <c r="AT105" s="239">
        <v>0</v>
      </c>
      <c r="AU105" s="239">
        <v>0</v>
      </c>
      <c r="AV105" s="239">
        <v>0</v>
      </c>
      <c r="AW105" s="242">
        <v>7670845</v>
      </c>
      <c r="AX105" s="239">
        <v>0</v>
      </c>
      <c r="AY105" s="239">
        <v>0</v>
      </c>
      <c r="AZ105" s="239">
        <v>0</v>
      </c>
      <c r="BA105" s="239">
        <v>0</v>
      </c>
      <c r="BB105" s="239">
        <v>0</v>
      </c>
      <c r="BC105" s="242">
        <v>0</v>
      </c>
      <c r="BD105" s="242">
        <v>7670845</v>
      </c>
      <c r="BE105" s="239">
        <v>0</v>
      </c>
      <c r="BF105" s="239">
        <v>7659121</v>
      </c>
      <c r="BG105" s="239">
        <v>10005</v>
      </c>
      <c r="BH105" s="239">
        <v>512</v>
      </c>
      <c r="BI105" s="239">
        <v>0</v>
      </c>
      <c r="BJ105" s="239">
        <v>6805944</v>
      </c>
      <c r="BK105" s="239">
        <v>73563</v>
      </c>
      <c r="BL105" s="242">
        <v>14549145</v>
      </c>
      <c r="BM105" s="242">
        <v>-6878300</v>
      </c>
      <c r="BN105" s="239">
        <v>0</v>
      </c>
      <c r="BO105" s="239">
        <v>0</v>
      </c>
      <c r="BP105" s="239">
        <v>-6878300</v>
      </c>
      <c r="BQ105" s="239">
        <v>0</v>
      </c>
      <c r="BR105" s="239">
        <v>0</v>
      </c>
      <c r="BS105" s="242">
        <v>-6878300</v>
      </c>
      <c r="BT105" s="243">
        <v>-0.89700000000000002</v>
      </c>
      <c r="BU105" s="243">
        <v>0</v>
      </c>
      <c r="BV105" s="243">
        <v>-0.89700000000000002</v>
      </c>
      <c r="BW105" s="244">
        <v>0</v>
      </c>
      <c r="BX105" s="245">
        <v>0</v>
      </c>
      <c r="BY105" s="245">
        <v>0</v>
      </c>
      <c r="BZ105" s="246">
        <f t="shared" si="6"/>
        <v>-686.43508245877058</v>
      </c>
      <c r="CA105" s="247">
        <v>0</v>
      </c>
      <c r="CB105" s="247">
        <v>0</v>
      </c>
      <c r="CC105" s="248">
        <v>0</v>
      </c>
      <c r="CD105" s="249">
        <v>0</v>
      </c>
      <c r="CE105" s="247" t="e">
        <f t="shared" si="7"/>
        <v>#DIV/0!</v>
      </c>
      <c r="CF105" s="242">
        <v>-6878300</v>
      </c>
      <c r="CG105" s="243">
        <v>-0.89700000000000002</v>
      </c>
      <c r="CH105" s="243">
        <v>0</v>
      </c>
      <c r="CI105" s="243">
        <v>-0.89700000000000002</v>
      </c>
    </row>
    <row r="106" spans="1:87" s="60" customFormat="1" ht="34.200000000000003" hidden="1" x14ac:dyDescent="0.3">
      <c r="A106" s="238">
        <v>16532</v>
      </c>
      <c r="B106" s="238" t="s">
        <v>188</v>
      </c>
      <c r="C106" s="238" t="s">
        <v>83</v>
      </c>
      <c r="D106" s="238">
        <v>14288</v>
      </c>
      <c r="E106" s="238">
        <v>2025</v>
      </c>
      <c r="F106" s="238" t="s">
        <v>276</v>
      </c>
      <c r="G106" s="238">
        <v>5</v>
      </c>
      <c r="H106" s="238">
        <v>12</v>
      </c>
      <c r="I106" s="238" t="s">
        <v>716</v>
      </c>
      <c r="J106" s="239">
        <v>0</v>
      </c>
      <c r="K106" s="239">
        <v>0</v>
      </c>
      <c r="L106" s="239">
        <v>0</v>
      </c>
      <c r="M106" s="239">
        <v>0</v>
      </c>
      <c r="N106" s="239">
        <v>0</v>
      </c>
      <c r="O106" s="239">
        <v>0</v>
      </c>
      <c r="P106" s="239">
        <v>0</v>
      </c>
      <c r="Q106" s="242">
        <v>0</v>
      </c>
      <c r="R106" s="239">
        <v>0</v>
      </c>
      <c r="S106" s="239">
        <v>0</v>
      </c>
      <c r="T106" s="239">
        <v>0</v>
      </c>
      <c r="U106" s="239">
        <v>0</v>
      </c>
      <c r="V106" s="239">
        <v>0</v>
      </c>
      <c r="W106" s="239">
        <v>0</v>
      </c>
      <c r="X106" s="242">
        <v>0</v>
      </c>
      <c r="Y106" s="239">
        <v>0</v>
      </c>
      <c r="Z106" s="242">
        <v>0</v>
      </c>
      <c r="AA106" s="242">
        <v>0</v>
      </c>
      <c r="AB106" s="239">
        <v>0</v>
      </c>
      <c r="AC106" s="239">
        <v>0</v>
      </c>
      <c r="AD106" s="239">
        <v>0</v>
      </c>
      <c r="AE106" s="239">
        <v>0</v>
      </c>
      <c r="AF106" s="242">
        <v>0</v>
      </c>
      <c r="AG106" s="239">
        <v>0</v>
      </c>
      <c r="AH106" s="239">
        <v>0</v>
      </c>
      <c r="AI106" s="239">
        <v>0</v>
      </c>
      <c r="AJ106" s="242">
        <v>0</v>
      </c>
      <c r="AK106" s="242">
        <v>0</v>
      </c>
      <c r="AL106" s="239">
        <v>0</v>
      </c>
      <c r="AM106" s="239">
        <v>0</v>
      </c>
      <c r="AN106" s="239">
        <v>0</v>
      </c>
      <c r="AO106" s="242">
        <v>0</v>
      </c>
      <c r="AP106" s="242">
        <v>0</v>
      </c>
      <c r="AQ106" s="239">
        <v>7669172</v>
      </c>
      <c r="AR106" s="239">
        <v>0</v>
      </c>
      <c r="AS106" s="239">
        <v>1673</v>
      </c>
      <c r="AT106" s="239">
        <v>0</v>
      </c>
      <c r="AU106" s="239">
        <v>0</v>
      </c>
      <c r="AV106" s="239">
        <v>0</v>
      </c>
      <c r="AW106" s="242">
        <v>7670845</v>
      </c>
      <c r="AX106" s="239">
        <v>0</v>
      </c>
      <c r="AY106" s="239">
        <v>0</v>
      </c>
      <c r="AZ106" s="239">
        <v>0</v>
      </c>
      <c r="BA106" s="239">
        <v>0</v>
      </c>
      <c r="BB106" s="239">
        <v>0</v>
      </c>
      <c r="BC106" s="242">
        <v>0</v>
      </c>
      <c r="BD106" s="242">
        <v>7670845</v>
      </c>
      <c r="BE106" s="239">
        <v>0</v>
      </c>
      <c r="BF106" s="239">
        <v>7659121</v>
      </c>
      <c r="BG106" s="239">
        <v>10005</v>
      </c>
      <c r="BH106" s="239">
        <v>512</v>
      </c>
      <c r="BI106" s="239">
        <v>0</v>
      </c>
      <c r="BJ106" s="239">
        <v>6805944</v>
      </c>
      <c r="BK106" s="239">
        <v>73563</v>
      </c>
      <c r="BL106" s="242">
        <v>14549145</v>
      </c>
      <c r="BM106" s="242">
        <v>-6878300</v>
      </c>
      <c r="BN106" s="239">
        <v>0</v>
      </c>
      <c r="BO106" s="239">
        <v>0</v>
      </c>
      <c r="BP106" s="239">
        <v>-6878300</v>
      </c>
      <c r="BQ106" s="239">
        <v>0</v>
      </c>
      <c r="BR106" s="239">
        <v>0</v>
      </c>
      <c r="BS106" s="242">
        <v>-6878300</v>
      </c>
      <c r="BT106" s="247">
        <v>-0.89700000000000002</v>
      </c>
      <c r="BU106" s="247">
        <v>0</v>
      </c>
      <c r="BV106" s="247">
        <v>-0.89700000000000002</v>
      </c>
      <c r="BW106" s="244">
        <v>0</v>
      </c>
      <c r="BX106" s="245">
        <v>0</v>
      </c>
      <c r="BY106" s="245">
        <v>0</v>
      </c>
      <c r="BZ106" s="246">
        <f t="shared" si="6"/>
        <v>-686.43508245877058</v>
      </c>
      <c r="CA106" s="247">
        <v>0</v>
      </c>
      <c r="CB106" s="247">
        <v>0</v>
      </c>
      <c r="CC106" s="248">
        <v>0</v>
      </c>
      <c r="CD106" s="248"/>
      <c r="CE106" s="247" t="e">
        <f t="shared" si="7"/>
        <v>#DIV/0!</v>
      </c>
      <c r="CF106" s="242">
        <v>0</v>
      </c>
      <c r="CG106" s="247">
        <v>0</v>
      </c>
      <c r="CH106" s="247">
        <v>-6878300</v>
      </c>
      <c r="CI106" s="247">
        <v>-0.89700000000000002</v>
      </c>
    </row>
    <row r="107" spans="1:87" s="60" customFormat="1" ht="22.8" hidden="1" x14ac:dyDescent="0.3">
      <c r="A107" s="233">
        <v>16533</v>
      </c>
      <c r="B107" s="233" t="s">
        <v>189</v>
      </c>
      <c r="C107" s="233" t="s">
        <v>83</v>
      </c>
      <c r="D107" s="233">
        <v>14288</v>
      </c>
      <c r="E107" s="233">
        <v>2025</v>
      </c>
      <c r="F107" s="233" t="s">
        <v>276</v>
      </c>
      <c r="G107" s="233">
        <v>5</v>
      </c>
      <c r="H107" s="233">
        <v>12</v>
      </c>
      <c r="I107" s="233" t="s">
        <v>716</v>
      </c>
      <c r="J107" s="234">
        <v>0</v>
      </c>
      <c r="K107" s="234">
        <v>0</v>
      </c>
      <c r="L107" s="234">
        <v>0</v>
      </c>
      <c r="M107" s="234">
        <v>0</v>
      </c>
      <c r="N107" s="234">
        <v>0</v>
      </c>
      <c r="O107" s="234">
        <v>0</v>
      </c>
      <c r="P107" s="234">
        <v>0</v>
      </c>
      <c r="Q107" s="242">
        <v>0</v>
      </c>
      <c r="R107" s="234">
        <v>0</v>
      </c>
      <c r="S107" s="234">
        <v>0</v>
      </c>
      <c r="T107" s="234">
        <v>0</v>
      </c>
      <c r="U107" s="234">
        <v>0</v>
      </c>
      <c r="V107" s="234">
        <v>0</v>
      </c>
      <c r="W107" s="234">
        <v>0</v>
      </c>
      <c r="X107" s="242">
        <v>0</v>
      </c>
      <c r="Y107" s="234">
        <v>0</v>
      </c>
      <c r="Z107" s="242">
        <v>0</v>
      </c>
      <c r="AA107" s="242">
        <v>0</v>
      </c>
      <c r="AB107" s="234">
        <v>0</v>
      </c>
      <c r="AC107" s="234">
        <v>0</v>
      </c>
      <c r="AD107" s="234">
        <v>0</v>
      </c>
      <c r="AE107" s="234">
        <v>0</v>
      </c>
      <c r="AF107" s="242">
        <v>0</v>
      </c>
      <c r="AG107" s="234">
        <v>0</v>
      </c>
      <c r="AH107" s="234">
        <v>0</v>
      </c>
      <c r="AI107" s="234">
        <v>0</v>
      </c>
      <c r="AJ107" s="242">
        <v>0</v>
      </c>
      <c r="AK107" s="242">
        <v>0</v>
      </c>
      <c r="AL107" s="234">
        <v>0</v>
      </c>
      <c r="AM107" s="234">
        <v>0</v>
      </c>
      <c r="AN107" s="234">
        <v>0</v>
      </c>
      <c r="AO107" s="242">
        <v>0</v>
      </c>
      <c r="AP107" s="242">
        <v>0</v>
      </c>
      <c r="AQ107" s="234">
        <v>55796111</v>
      </c>
      <c r="AR107" s="234">
        <v>10994088</v>
      </c>
      <c r="AS107" s="234">
        <v>20216576</v>
      </c>
      <c r="AT107" s="234">
        <v>0</v>
      </c>
      <c r="AU107" s="234">
        <v>0</v>
      </c>
      <c r="AV107" s="234">
        <v>0</v>
      </c>
      <c r="AW107" s="242">
        <v>87006775</v>
      </c>
      <c r="AX107" s="234">
        <v>0</v>
      </c>
      <c r="AY107" s="234">
        <v>0</v>
      </c>
      <c r="AZ107" s="234">
        <v>0</v>
      </c>
      <c r="BA107" s="234">
        <v>0</v>
      </c>
      <c r="BB107" s="234">
        <v>0</v>
      </c>
      <c r="BC107" s="242">
        <v>0</v>
      </c>
      <c r="BD107" s="242">
        <v>87006775</v>
      </c>
      <c r="BE107" s="234">
        <v>82570601</v>
      </c>
      <c r="BF107" s="234">
        <v>1589376</v>
      </c>
      <c r="BG107" s="234">
        <v>1527020</v>
      </c>
      <c r="BH107" s="234">
        <v>2384</v>
      </c>
      <c r="BI107" s="234">
        <v>0</v>
      </c>
      <c r="BJ107" s="234">
        <v>23073550</v>
      </c>
      <c r="BK107" s="234">
        <v>3498827</v>
      </c>
      <c r="BL107" s="242">
        <v>112261758</v>
      </c>
      <c r="BM107" s="242">
        <v>-25254983</v>
      </c>
      <c r="BN107" s="234">
        <v>0</v>
      </c>
      <c r="BO107" s="234">
        <v>-1833891</v>
      </c>
      <c r="BP107" s="234">
        <v>-27088874</v>
      </c>
      <c r="BQ107" s="234">
        <v>0</v>
      </c>
      <c r="BR107" s="234">
        <v>0</v>
      </c>
      <c r="BS107" s="242">
        <v>-27088874</v>
      </c>
      <c r="BT107" s="243">
        <v>-0.28999999999999998</v>
      </c>
      <c r="BU107" s="243">
        <v>0</v>
      </c>
      <c r="BV107" s="243">
        <v>-0.28999999999999998</v>
      </c>
      <c r="BW107" s="244">
        <v>0</v>
      </c>
      <c r="BX107" s="245">
        <v>0</v>
      </c>
      <c r="BY107" s="245">
        <v>0</v>
      </c>
      <c r="BZ107" s="246">
        <f t="shared" si="6"/>
        <v>-15.537176330368954</v>
      </c>
      <c r="CA107" s="247">
        <v>0</v>
      </c>
      <c r="CB107" s="247">
        <v>0</v>
      </c>
      <c r="CC107" s="248">
        <v>0</v>
      </c>
      <c r="CD107" s="249">
        <v>0</v>
      </c>
      <c r="CE107" s="247" t="e">
        <f t="shared" si="7"/>
        <v>#DIV/0!</v>
      </c>
      <c r="CF107" s="242">
        <v>-25254983</v>
      </c>
      <c r="CG107" s="243">
        <v>-0.28999999999999998</v>
      </c>
      <c r="CH107" s="243">
        <v>0</v>
      </c>
      <c r="CI107" s="243">
        <v>-0.28999999999999998</v>
      </c>
    </row>
    <row r="108" spans="1:87" s="60" customFormat="1" ht="22.8" hidden="1" x14ac:dyDescent="0.3">
      <c r="A108" s="233">
        <v>16533</v>
      </c>
      <c r="B108" s="233" t="s">
        <v>189</v>
      </c>
      <c r="C108" s="233" t="s">
        <v>83</v>
      </c>
      <c r="D108" s="233">
        <v>14288</v>
      </c>
      <c r="E108" s="233">
        <v>2025</v>
      </c>
      <c r="F108" s="233" t="s">
        <v>276</v>
      </c>
      <c r="G108" s="233">
        <v>5</v>
      </c>
      <c r="H108" s="233">
        <v>12</v>
      </c>
      <c r="I108" s="233" t="s">
        <v>716</v>
      </c>
      <c r="J108" s="234">
        <v>0</v>
      </c>
      <c r="K108" s="234">
        <v>0</v>
      </c>
      <c r="L108" s="234">
        <v>0</v>
      </c>
      <c r="M108" s="234">
        <v>0</v>
      </c>
      <c r="N108" s="234">
        <v>0</v>
      </c>
      <c r="O108" s="234">
        <v>0</v>
      </c>
      <c r="P108" s="234">
        <v>0</v>
      </c>
      <c r="Q108" s="242">
        <v>0</v>
      </c>
      <c r="R108" s="234">
        <v>0</v>
      </c>
      <c r="S108" s="234">
        <v>0</v>
      </c>
      <c r="T108" s="234">
        <v>0</v>
      </c>
      <c r="U108" s="234">
        <v>0</v>
      </c>
      <c r="V108" s="234">
        <v>0</v>
      </c>
      <c r="W108" s="234">
        <v>0</v>
      </c>
      <c r="X108" s="242">
        <v>0</v>
      </c>
      <c r="Y108" s="234">
        <v>0</v>
      </c>
      <c r="Z108" s="242">
        <v>0</v>
      </c>
      <c r="AA108" s="242">
        <v>0</v>
      </c>
      <c r="AB108" s="234">
        <v>0</v>
      </c>
      <c r="AC108" s="234">
        <v>0</v>
      </c>
      <c r="AD108" s="234">
        <v>0</v>
      </c>
      <c r="AE108" s="234">
        <v>0</v>
      </c>
      <c r="AF108" s="242">
        <v>0</v>
      </c>
      <c r="AG108" s="234">
        <v>0</v>
      </c>
      <c r="AH108" s="234">
        <v>0</v>
      </c>
      <c r="AI108" s="234">
        <v>0</v>
      </c>
      <c r="AJ108" s="242">
        <v>0</v>
      </c>
      <c r="AK108" s="242">
        <v>0</v>
      </c>
      <c r="AL108" s="234">
        <v>0</v>
      </c>
      <c r="AM108" s="234">
        <v>0</v>
      </c>
      <c r="AN108" s="234">
        <v>0</v>
      </c>
      <c r="AO108" s="242">
        <v>0</v>
      </c>
      <c r="AP108" s="242">
        <v>0</v>
      </c>
      <c r="AQ108" s="234">
        <v>55796111</v>
      </c>
      <c r="AR108" s="234">
        <v>10994088</v>
      </c>
      <c r="AS108" s="234">
        <v>20216576</v>
      </c>
      <c r="AT108" s="234">
        <v>0</v>
      </c>
      <c r="AU108" s="234">
        <v>0</v>
      </c>
      <c r="AV108" s="234">
        <v>0</v>
      </c>
      <c r="AW108" s="242">
        <v>87006775</v>
      </c>
      <c r="AX108" s="234">
        <v>0</v>
      </c>
      <c r="AY108" s="234">
        <v>0</v>
      </c>
      <c r="AZ108" s="234">
        <v>0</v>
      </c>
      <c r="BA108" s="234">
        <v>0</v>
      </c>
      <c r="BB108" s="234">
        <v>0</v>
      </c>
      <c r="BC108" s="242">
        <v>0</v>
      </c>
      <c r="BD108" s="242">
        <v>87006775</v>
      </c>
      <c r="BE108" s="234">
        <v>82570601</v>
      </c>
      <c r="BF108" s="234">
        <v>1589376</v>
      </c>
      <c r="BG108" s="234">
        <v>1527020</v>
      </c>
      <c r="BH108" s="234">
        <v>2384</v>
      </c>
      <c r="BI108" s="234">
        <v>0</v>
      </c>
      <c r="BJ108" s="234">
        <v>23073550</v>
      </c>
      <c r="BK108" s="234">
        <v>3498827</v>
      </c>
      <c r="BL108" s="242">
        <v>112261758</v>
      </c>
      <c r="BM108" s="242">
        <v>-25254983</v>
      </c>
      <c r="BN108" s="234">
        <v>0</v>
      </c>
      <c r="BO108" s="234">
        <v>-1833891</v>
      </c>
      <c r="BP108" s="234">
        <v>-27088874</v>
      </c>
      <c r="BQ108" s="234">
        <v>0</v>
      </c>
      <c r="BR108" s="234">
        <v>0</v>
      </c>
      <c r="BS108" s="242">
        <v>-27088874</v>
      </c>
      <c r="BT108" s="247">
        <v>-0.28999999999999998</v>
      </c>
      <c r="BU108" s="247">
        <v>0</v>
      </c>
      <c r="BV108" s="247">
        <v>-0.28999999999999998</v>
      </c>
      <c r="BW108" s="244">
        <v>0</v>
      </c>
      <c r="BX108" s="245">
        <v>0</v>
      </c>
      <c r="BY108" s="245">
        <v>0</v>
      </c>
      <c r="BZ108" s="246">
        <f t="shared" si="6"/>
        <v>-15.537176330368954</v>
      </c>
      <c r="CA108" s="247">
        <v>0</v>
      </c>
      <c r="CB108" s="247">
        <v>0</v>
      </c>
      <c r="CC108" s="248">
        <v>0</v>
      </c>
      <c r="CD108" s="248"/>
      <c r="CE108" s="247" t="e">
        <f t="shared" si="7"/>
        <v>#DIV/0!</v>
      </c>
      <c r="CF108" s="242">
        <v>0</v>
      </c>
      <c r="CG108" s="247">
        <v>0</v>
      </c>
      <c r="CH108" s="247">
        <v>-25254983</v>
      </c>
      <c r="CI108" s="247">
        <v>-0.28999999999999998</v>
      </c>
    </row>
    <row r="109" spans="1:87" s="60" customFormat="1" ht="22.8" hidden="1" x14ac:dyDescent="0.3">
      <c r="A109" s="233">
        <v>11915</v>
      </c>
      <c r="B109" s="233" t="s">
        <v>111</v>
      </c>
      <c r="C109" s="233" t="s">
        <v>83</v>
      </c>
      <c r="D109" s="233">
        <v>16665</v>
      </c>
      <c r="E109" s="233">
        <v>2025</v>
      </c>
      <c r="F109" s="233" t="s">
        <v>275</v>
      </c>
      <c r="G109" s="233">
        <v>5</v>
      </c>
      <c r="H109" s="233">
        <v>12</v>
      </c>
      <c r="I109" s="233" t="s">
        <v>715</v>
      </c>
      <c r="J109" s="234">
        <v>0</v>
      </c>
      <c r="K109" s="234">
        <v>0</v>
      </c>
      <c r="L109" s="234">
        <v>0</v>
      </c>
      <c r="M109" s="234">
        <v>0</v>
      </c>
      <c r="N109" s="234">
        <v>0</v>
      </c>
      <c r="O109" s="234">
        <v>0</v>
      </c>
      <c r="P109" s="234">
        <v>0</v>
      </c>
      <c r="Q109" s="242">
        <v>0</v>
      </c>
      <c r="R109" s="234">
        <v>0</v>
      </c>
      <c r="S109" s="234">
        <v>0</v>
      </c>
      <c r="T109" s="234">
        <v>0</v>
      </c>
      <c r="U109" s="234">
        <v>0</v>
      </c>
      <c r="V109" s="234">
        <v>0</v>
      </c>
      <c r="W109" s="234">
        <v>0</v>
      </c>
      <c r="X109" s="242">
        <v>0</v>
      </c>
      <c r="Y109" s="234">
        <v>0</v>
      </c>
      <c r="Z109" s="242">
        <v>0</v>
      </c>
      <c r="AA109" s="242">
        <v>0</v>
      </c>
      <c r="AB109" s="234">
        <v>0</v>
      </c>
      <c r="AC109" s="234">
        <v>0</v>
      </c>
      <c r="AD109" s="234">
        <v>0</v>
      </c>
      <c r="AE109" s="234">
        <v>0</v>
      </c>
      <c r="AF109" s="242">
        <v>0</v>
      </c>
      <c r="AG109" s="234">
        <v>0</v>
      </c>
      <c r="AH109" s="234">
        <v>0</v>
      </c>
      <c r="AI109" s="234">
        <v>0</v>
      </c>
      <c r="AJ109" s="242">
        <v>0</v>
      </c>
      <c r="AK109" s="242">
        <v>0</v>
      </c>
      <c r="AL109" s="234">
        <v>0</v>
      </c>
      <c r="AM109" s="234">
        <v>0</v>
      </c>
      <c r="AN109" s="234">
        <v>0</v>
      </c>
      <c r="AO109" s="242">
        <v>0</v>
      </c>
      <c r="AP109" s="242">
        <v>0</v>
      </c>
      <c r="AQ109" s="234">
        <v>11717000</v>
      </c>
      <c r="AR109" s="234">
        <v>0</v>
      </c>
      <c r="AS109" s="234">
        <v>1192000</v>
      </c>
      <c r="AT109" s="234">
        <v>0</v>
      </c>
      <c r="AU109" s="234">
        <v>0</v>
      </c>
      <c r="AV109" s="234">
        <v>0</v>
      </c>
      <c r="AW109" s="242">
        <v>12909000</v>
      </c>
      <c r="AX109" s="234">
        <v>0</v>
      </c>
      <c r="AY109" s="234">
        <v>0</v>
      </c>
      <c r="AZ109" s="234">
        <v>0</v>
      </c>
      <c r="BA109" s="234">
        <v>0</v>
      </c>
      <c r="BB109" s="234">
        <v>0</v>
      </c>
      <c r="BC109" s="242">
        <v>0</v>
      </c>
      <c r="BD109" s="242">
        <v>12909000</v>
      </c>
      <c r="BE109" s="234">
        <v>14837000</v>
      </c>
      <c r="BF109" s="234">
        <v>0</v>
      </c>
      <c r="BG109" s="234">
        <v>178000</v>
      </c>
      <c r="BH109" s="234">
        <v>0</v>
      </c>
      <c r="BI109" s="234">
        <v>0</v>
      </c>
      <c r="BJ109" s="234">
        <v>4729000</v>
      </c>
      <c r="BK109" s="234">
        <v>0</v>
      </c>
      <c r="BL109" s="242">
        <v>19744000</v>
      </c>
      <c r="BM109" s="242">
        <v>-6835000</v>
      </c>
      <c r="BN109" s="234">
        <v>0</v>
      </c>
      <c r="BO109" s="234">
        <v>0</v>
      </c>
      <c r="BP109" s="234">
        <v>-6835000</v>
      </c>
      <c r="BQ109" s="234">
        <v>0</v>
      </c>
      <c r="BR109" s="234">
        <v>0</v>
      </c>
      <c r="BS109" s="242">
        <v>-6835000</v>
      </c>
      <c r="BT109" s="243">
        <v>-0.52900000000000003</v>
      </c>
      <c r="BU109" s="243">
        <v>0</v>
      </c>
      <c r="BV109" s="243">
        <v>-0.52900000000000003</v>
      </c>
      <c r="BW109" s="244">
        <v>0</v>
      </c>
      <c r="BX109" s="245">
        <v>0</v>
      </c>
      <c r="BY109" s="245">
        <v>0</v>
      </c>
      <c r="BZ109" s="246">
        <f t="shared" si="6"/>
        <v>-37.398876404494381</v>
      </c>
      <c r="CA109" s="247">
        <v>0</v>
      </c>
      <c r="CB109" s="247">
        <v>0</v>
      </c>
      <c r="CC109" s="248">
        <v>0</v>
      </c>
      <c r="CD109" s="249">
        <v>0</v>
      </c>
      <c r="CE109" s="247" t="e">
        <f t="shared" si="7"/>
        <v>#DIV/0!</v>
      </c>
      <c r="CF109" s="242">
        <v>-6835000</v>
      </c>
      <c r="CG109" s="243">
        <v>-0.52900000000000003</v>
      </c>
      <c r="CH109" s="243">
        <v>0</v>
      </c>
      <c r="CI109" s="243">
        <v>-0.52900000000000003</v>
      </c>
    </row>
    <row r="110" spans="1:87" s="60" customFormat="1" ht="22.8" x14ac:dyDescent="0.3">
      <c r="A110" s="238">
        <v>25</v>
      </c>
      <c r="B110" s="238" t="s">
        <v>164</v>
      </c>
      <c r="C110" s="238" t="s">
        <v>77</v>
      </c>
      <c r="D110" s="238">
        <v>9991</v>
      </c>
      <c r="E110" s="238">
        <v>2025</v>
      </c>
      <c r="F110" s="238" t="s">
        <v>275</v>
      </c>
      <c r="G110" s="238">
        <v>5</v>
      </c>
      <c r="H110" s="238">
        <v>12</v>
      </c>
      <c r="I110" s="238" t="s">
        <v>715</v>
      </c>
      <c r="J110" s="239">
        <v>46577918</v>
      </c>
      <c r="K110" s="239">
        <v>0</v>
      </c>
      <c r="L110" s="239">
        <v>0</v>
      </c>
      <c r="M110" s="239">
        <v>31827405</v>
      </c>
      <c r="N110" s="239">
        <v>0</v>
      </c>
      <c r="O110" s="239">
        <v>23020675</v>
      </c>
      <c r="P110" s="239">
        <v>28357380</v>
      </c>
      <c r="Q110" s="242">
        <v>129783378</v>
      </c>
      <c r="R110" s="239">
        <v>102637934</v>
      </c>
      <c r="S110" s="239">
        <v>0</v>
      </c>
      <c r="T110" s="239">
        <v>0</v>
      </c>
      <c r="U110" s="239">
        <v>0</v>
      </c>
      <c r="V110" s="239">
        <v>381491632</v>
      </c>
      <c r="W110" s="239">
        <v>183067329</v>
      </c>
      <c r="X110" s="242">
        <v>198424303</v>
      </c>
      <c r="Y110" s="239">
        <v>43866879</v>
      </c>
      <c r="Z110" s="242">
        <v>344929116</v>
      </c>
      <c r="AA110" s="242">
        <v>474712494</v>
      </c>
      <c r="AB110" s="239">
        <v>8273641</v>
      </c>
      <c r="AC110" s="239">
        <v>30293806</v>
      </c>
      <c r="AD110" s="239">
        <v>0</v>
      </c>
      <c r="AE110" s="239">
        <v>91454728</v>
      </c>
      <c r="AF110" s="242">
        <v>130022175</v>
      </c>
      <c r="AG110" s="239">
        <v>92285254</v>
      </c>
      <c r="AH110" s="239">
        <v>0</v>
      </c>
      <c r="AI110" s="239">
        <v>13061480</v>
      </c>
      <c r="AJ110" s="242">
        <v>105346734</v>
      </c>
      <c r="AK110" s="242">
        <v>235368909</v>
      </c>
      <c r="AL110" s="239">
        <v>228258441</v>
      </c>
      <c r="AM110" s="239">
        <v>0</v>
      </c>
      <c r="AN110" s="239">
        <v>11085144</v>
      </c>
      <c r="AO110" s="242">
        <v>239343585</v>
      </c>
      <c r="AP110" s="242">
        <v>474712494</v>
      </c>
      <c r="AQ110" s="239">
        <v>314506119</v>
      </c>
      <c r="AR110" s="239">
        <v>36947915</v>
      </c>
      <c r="AS110" s="239">
        <v>105760779</v>
      </c>
      <c r="AT110" s="239">
        <v>2594519</v>
      </c>
      <c r="AU110" s="239">
        <v>0</v>
      </c>
      <c r="AV110" s="239">
        <v>489624</v>
      </c>
      <c r="AW110" s="242">
        <v>460298956</v>
      </c>
      <c r="AX110" s="239">
        <v>4116016</v>
      </c>
      <c r="AY110" s="239">
        <v>0</v>
      </c>
      <c r="AZ110" s="239">
        <v>0</v>
      </c>
      <c r="BA110" s="239">
        <v>7919805</v>
      </c>
      <c r="BB110" s="239">
        <v>33660072</v>
      </c>
      <c r="BC110" s="242">
        <v>45695893</v>
      </c>
      <c r="BD110" s="242">
        <v>505994849</v>
      </c>
      <c r="BE110" s="239">
        <v>260961969</v>
      </c>
      <c r="BF110" s="239">
        <v>0</v>
      </c>
      <c r="BG110" s="239">
        <v>17760549</v>
      </c>
      <c r="BH110" s="239">
        <v>3511171</v>
      </c>
      <c r="BI110" s="239">
        <v>18032292</v>
      </c>
      <c r="BJ110" s="239">
        <v>204746066</v>
      </c>
      <c r="BK110" s="239">
        <v>0</v>
      </c>
      <c r="BL110" s="242">
        <v>505012047</v>
      </c>
      <c r="BM110" s="242">
        <v>982802</v>
      </c>
      <c r="BN110" s="239">
        <v>-14899424</v>
      </c>
      <c r="BO110" s="239">
        <v>13851753</v>
      </c>
      <c r="BP110" s="239">
        <v>-64869</v>
      </c>
      <c r="BQ110" s="239">
        <v>13604637</v>
      </c>
      <c r="BR110" s="239">
        <v>0</v>
      </c>
      <c r="BS110" s="242">
        <v>13539768</v>
      </c>
      <c r="BT110" s="243">
        <v>-8.7999999999999995E-2</v>
      </c>
      <c r="BU110" s="243">
        <v>0.09</v>
      </c>
      <c r="BV110" s="243">
        <v>2E-3</v>
      </c>
      <c r="BW110" s="244">
        <v>1</v>
      </c>
      <c r="BX110" s="245">
        <v>37</v>
      </c>
      <c r="BY110" s="245">
        <v>75</v>
      </c>
      <c r="BZ110" s="246">
        <f t="shared" si="6"/>
        <v>0.85481906677334685</v>
      </c>
      <c r="CA110" s="247">
        <v>8.4000000000000005E-2</v>
      </c>
      <c r="CB110" s="247">
        <v>0.504</v>
      </c>
      <c r="CC110" s="248">
        <v>10</v>
      </c>
      <c r="CD110" s="249">
        <v>35</v>
      </c>
      <c r="CE110" s="247">
        <f t="shared" si="7"/>
        <v>0.28790225931600372</v>
      </c>
      <c r="CF110" s="242">
        <v>-1611717</v>
      </c>
      <c r="CG110" s="243">
        <v>-9.4E-2</v>
      </c>
      <c r="CH110" s="243">
        <v>9.0999999999999998E-2</v>
      </c>
      <c r="CI110" s="243">
        <v>-3.0000000000000001E-3</v>
      </c>
    </row>
    <row r="111" spans="1:87" s="60" customFormat="1" ht="22.8" hidden="1" x14ac:dyDescent="0.3">
      <c r="A111" s="233">
        <v>9991</v>
      </c>
      <c r="B111" s="233" t="s">
        <v>162</v>
      </c>
      <c r="C111" s="233" t="s">
        <v>75</v>
      </c>
      <c r="D111" s="233">
        <v>9991</v>
      </c>
      <c r="E111" s="233">
        <v>2025</v>
      </c>
      <c r="F111" s="233" t="s">
        <v>275</v>
      </c>
      <c r="G111" s="233">
        <v>5</v>
      </c>
      <c r="H111" s="233">
        <v>12</v>
      </c>
      <c r="I111" s="233" t="s">
        <v>715</v>
      </c>
      <c r="J111" s="234">
        <v>49106293</v>
      </c>
      <c r="K111" s="234">
        <v>0</v>
      </c>
      <c r="L111" s="234">
        <v>0</v>
      </c>
      <c r="M111" s="234">
        <v>35589135</v>
      </c>
      <c r="N111" s="234">
        <v>0</v>
      </c>
      <c r="O111" s="234">
        <v>25368814</v>
      </c>
      <c r="P111" s="234">
        <v>34382617</v>
      </c>
      <c r="Q111" s="242">
        <v>144446859</v>
      </c>
      <c r="R111" s="234">
        <v>120587387</v>
      </c>
      <c r="S111" s="234">
        <v>0</v>
      </c>
      <c r="T111" s="234">
        <v>0</v>
      </c>
      <c r="U111" s="234">
        <v>0</v>
      </c>
      <c r="V111" s="234">
        <v>402084126</v>
      </c>
      <c r="W111" s="234">
        <v>200010349</v>
      </c>
      <c r="X111" s="242">
        <v>202073777</v>
      </c>
      <c r="Y111" s="234">
        <v>53666607</v>
      </c>
      <c r="Z111" s="242">
        <v>376327771</v>
      </c>
      <c r="AA111" s="242">
        <v>520774630</v>
      </c>
      <c r="AB111" s="234">
        <v>9184938</v>
      </c>
      <c r="AC111" s="234">
        <v>33642591</v>
      </c>
      <c r="AD111" s="234">
        <v>0</v>
      </c>
      <c r="AE111" s="234">
        <v>104427461</v>
      </c>
      <c r="AF111" s="242">
        <v>147254990</v>
      </c>
      <c r="AG111" s="234">
        <v>94956988</v>
      </c>
      <c r="AH111" s="234">
        <v>0</v>
      </c>
      <c r="AI111" s="234">
        <v>30744542</v>
      </c>
      <c r="AJ111" s="242">
        <v>125701530</v>
      </c>
      <c r="AK111" s="242">
        <v>272956520</v>
      </c>
      <c r="AL111" s="234">
        <v>236732966</v>
      </c>
      <c r="AM111" s="234">
        <v>0</v>
      </c>
      <c r="AN111" s="234">
        <v>11085144</v>
      </c>
      <c r="AO111" s="242">
        <v>247818110</v>
      </c>
      <c r="AP111" s="242">
        <v>520774630</v>
      </c>
      <c r="AQ111" s="234">
        <v>383908807</v>
      </c>
      <c r="AR111" s="234">
        <v>56905181</v>
      </c>
      <c r="AS111" s="234">
        <v>91350976</v>
      </c>
      <c r="AT111" s="234">
        <v>2594545</v>
      </c>
      <c r="AU111" s="234">
        <v>0</v>
      </c>
      <c r="AV111" s="234">
        <v>1233910</v>
      </c>
      <c r="AW111" s="242">
        <v>535993419</v>
      </c>
      <c r="AX111" s="234">
        <v>4116016</v>
      </c>
      <c r="AY111" s="234">
        <v>-886589</v>
      </c>
      <c r="AZ111" s="234">
        <v>0</v>
      </c>
      <c r="BA111" s="234">
        <v>7919805</v>
      </c>
      <c r="BB111" s="234">
        <v>33707926</v>
      </c>
      <c r="BC111" s="242">
        <v>44857158</v>
      </c>
      <c r="BD111" s="242">
        <v>580850577</v>
      </c>
      <c r="BE111" s="234">
        <v>339534331</v>
      </c>
      <c r="BF111" s="234">
        <v>0</v>
      </c>
      <c r="BG111" s="234">
        <v>18450886</v>
      </c>
      <c r="BH111" s="234">
        <v>3511171</v>
      </c>
      <c r="BI111" s="234">
        <v>18032292</v>
      </c>
      <c r="BJ111" s="234">
        <v>213455698</v>
      </c>
      <c r="BK111" s="234">
        <v>0</v>
      </c>
      <c r="BL111" s="242">
        <v>592984378</v>
      </c>
      <c r="BM111" s="242">
        <v>-12133801</v>
      </c>
      <c r="BN111" s="234">
        <v>0</v>
      </c>
      <c r="BO111" s="234">
        <v>10056457</v>
      </c>
      <c r="BP111" s="234">
        <v>-2077344</v>
      </c>
      <c r="BQ111" s="234">
        <v>13604637</v>
      </c>
      <c r="BR111" s="234">
        <v>0</v>
      </c>
      <c r="BS111" s="242">
        <v>11527293</v>
      </c>
      <c r="BT111" s="243">
        <v>-9.8000000000000004E-2</v>
      </c>
      <c r="BU111" s="243">
        <v>7.6999999999999999E-2</v>
      </c>
      <c r="BV111" s="243">
        <v>-2.1000000000000001E-2</v>
      </c>
      <c r="BW111" s="244">
        <v>1</v>
      </c>
      <c r="BX111" s="245">
        <v>34</v>
      </c>
      <c r="BY111" s="245">
        <v>72</v>
      </c>
      <c r="BZ111" s="246">
        <f t="shared" si="6"/>
        <v>0.35563462844458699</v>
      </c>
      <c r="CA111" s="247">
        <v>2.5999999999999999E-2</v>
      </c>
      <c r="CB111" s="247">
        <v>0.47599999999999998</v>
      </c>
      <c r="CC111" s="248">
        <v>11</v>
      </c>
      <c r="CD111" s="249">
        <v>31</v>
      </c>
      <c r="CE111" s="247">
        <f t="shared" si="7"/>
        <v>0.28628237561876835</v>
      </c>
      <c r="CF111" s="242">
        <v>-14728346</v>
      </c>
      <c r="CG111" s="243">
        <v>-0.10299999999999999</v>
      </c>
      <c r="CH111" s="243">
        <v>7.8E-2</v>
      </c>
      <c r="CI111" s="243">
        <v>-2.5000000000000001E-2</v>
      </c>
    </row>
    <row r="112" spans="1:87" s="60" customFormat="1" ht="22.8" hidden="1" x14ac:dyDescent="0.3">
      <c r="A112" s="238">
        <v>10327</v>
      </c>
      <c r="B112" s="238" t="s">
        <v>165</v>
      </c>
      <c r="C112" s="238" t="s">
        <v>83</v>
      </c>
      <c r="D112" s="238">
        <v>9991</v>
      </c>
      <c r="E112" s="238">
        <v>2025</v>
      </c>
      <c r="F112" s="238" t="s">
        <v>275</v>
      </c>
      <c r="G112" s="238">
        <v>5</v>
      </c>
      <c r="H112" s="238">
        <v>12</v>
      </c>
      <c r="I112" s="238" t="s">
        <v>715</v>
      </c>
      <c r="J112" s="239">
        <v>0</v>
      </c>
      <c r="K112" s="239">
        <v>0</v>
      </c>
      <c r="L112" s="239">
        <v>0</v>
      </c>
      <c r="M112" s="239">
        <v>0</v>
      </c>
      <c r="N112" s="239">
        <v>0</v>
      </c>
      <c r="O112" s="239">
        <v>0</v>
      </c>
      <c r="P112" s="239">
        <v>0</v>
      </c>
      <c r="Q112" s="242">
        <v>0</v>
      </c>
      <c r="R112" s="239">
        <v>0</v>
      </c>
      <c r="S112" s="239">
        <v>0</v>
      </c>
      <c r="T112" s="239">
        <v>0</v>
      </c>
      <c r="U112" s="239">
        <v>0</v>
      </c>
      <c r="V112" s="239">
        <v>0</v>
      </c>
      <c r="W112" s="239">
        <v>0</v>
      </c>
      <c r="X112" s="242">
        <v>0</v>
      </c>
      <c r="Y112" s="239">
        <v>0</v>
      </c>
      <c r="Z112" s="242">
        <v>0</v>
      </c>
      <c r="AA112" s="242">
        <v>0</v>
      </c>
      <c r="AB112" s="239">
        <v>0</v>
      </c>
      <c r="AC112" s="239">
        <v>0</v>
      </c>
      <c r="AD112" s="239">
        <v>0</v>
      </c>
      <c r="AE112" s="239">
        <v>0</v>
      </c>
      <c r="AF112" s="242">
        <v>0</v>
      </c>
      <c r="AG112" s="239">
        <v>0</v>
      </c>
      <c r="AH112" s="239">
        <v>0</v>
      </c>
      <c r="AI112" s="239">
        <v>0</v>
      </c>
      <c r="AJ112" s="242">
        <v>0</v>
      </c>
      <c r="AK112" s="242">
        <v>0</v>
      </c>
      <c r="AL112" s="239">
        <v>0</v>
      </c>
      <c r="AM112" s="239">
        <v>0</v>
      </c>
      <c r="AN112" s="239">
        <v>0</v>
      </c>
      <c r="AO112" s="242">
        <v>0</v>
      </c>
      <c r="AP112" s="242">
        <v>0</v>
      </c>
      <c r="AQ112" s="239">
        <v>66058061</v>
      </c>
      <c r="AR112" s="239">
        <v>19957266</v>
      </c>
      <c r="AS112" s="239">
        <v>1902848</v>
      </c>
      <c r="AT112" s="239">
        <v>27</v>
      </c>
      <c r="AU112" s="239">
        <v>0</v>
      </c>
      <c r="AV112" s="239">
        <v>0</v>
      </c>
      <c r="AW112" s="242">
        <v>87918202</v>
      </c>
      <c r="AX112" s="239">
        <v>0</v>
      </c>
      <c r="AY112" s="239">
        <v>0</v>
      </c>
      <c r="AZ112" s="239">
        <v>0</v>
      </c>
      <c r="BA112" s="239">
        <v>0</v>
      </c>
      <c r="BB112" s="239">
        <v>0</v>
      </c>
      <c r="BC112" s="242">
        <v>0</v>
      </c>
      <c r="BD112" s="242">
        <v>87918202</v>
      </c>
      <c r="BE112" s="239">
        <v>81504687</v>
      </c>
      <c r="BF112" s="239">
        <v>0</v>
      </c>
      <c r="BG112" s="239">
        <v>617459</v>
      </c>
      <c r="BH112" s="239">
        <v>0</v>
      </c>
      <c r="BI112" s="239">
        <v>0</v>
      </c>
      <c r="BJ112" s="239">
        <v>16971575</v>
      </c>
      <c r="BK112" s="239">
        <v>0</v>
      </c>
      <c r="BL112" s="242">
        <v>99093721</v>
      </c>
      <c r="BM112" s="242">
        <v>-11175519</v>
      </c>
      <c r="BN112" s="239">
        <v>9126894</v>
      </c>
      <c r="BO112" s="239">
        <v>0</v>
      </c>
      <c r="BP112" s="239">
        <v>-2048625</v>
      </c>
      <c r="BQ112" s="239">
        <v>0</v>
      </c>
      <c r="BR112" s="239">
        <v>0</v>
      </c>
      <c r="BS112" s="242">
        <v>-2048625</v>
      </c>
      <c r="BT112" s="243">
        <v>-0.127</v>
      </c>
      <c r="BU112" s="243">
        <v>0</v>
      </c>
      <c r="BV112" s="243">
        <v>-0.127</v>
      </c>
      <c r="BW112" s="244">
        <v>0</v>
      </c>
      <c r="BX112" s="245">
        <v>0</v>
      </c>
      <c r="BY112" s="245">
        <v>0</v>
      </c>
      <c r="BZ112" s="246">
        <f t="shared" si="6"/>
        <v>-17.09920820653679</v>
      </c>
      <c r="CA112" s="247">
        <v>0</v>
      </c>
      <c r="CB112" s="247">
        <v>0</v>
      </c>
      <c r="CC112" s="248">
        <v>0</v>
      </c>
      <c r="CD112" s="249">
        <v>0</v>
      </c>
      <c r="CE112" s="247" t="e">
        <f t="shared" si="7"/>
        <v>#DIV/0!</v>
      </c>
      <c r="CF112" s="242">
        <v>-11175546</v>
      </c>
      <c r="CG112" s="243">
        <v>-0.127</v>
      </c>
      <c r="CH112" s="243">
        <v>0</v>
      </c>
      <c r="CI112" s="243">
        <v>-0.127</v>
      </c>
    </row>
    <row r="113" spans="1:87" s="60" customFormat="1" ht="34.200000000000003" hidden="1" x14ac:dyDescent="0.3">
      <c r="A113" s="238">
        <v>12759</v>
      </c>
      <c r="B113" s="238" t="s">
        <v>166</v>
      </c>
      <c r="C113" s="238" t="s">
        <v>75</v>
      </c>
      <c r="D113" s="238">
        <v>12759</v>
      </c>
      <c r="E113" s="238">
        <v>2025</v>
      </c>
      <c r="F113" s="238" t="s">
        <v>275</v>
      </c>
      <c r="G113" s="238">
        <v>5</v>
      </c>
      <c r="H113" s="238">
        <v>12</v>
      </c>
      <c r="I113" s="238" t="s">
        <v>715</v>
      </c>
      <c r="J113" s="239">
        <v>36209697</v>
      </c>
      <c r="K113" s="239">
        <v>138416</v>
      </c>
      <c r="L113" s="239">
        <v>15421470</v>
      </c>
      <c r="M113" s="239">
        <v>115086100</v>
      </c>
      <c r="N113" s="239">
        <v>0</v>
      </c>
      <c r="O113" s="239">
        <v>9218756</v>
      </c>
      <c r="P113" s="239">
        <v>36843562</v>
      </c>
      <c r="Q113" s="242">
        <v>212918001</v>
      </c>
      <c r="R113" s="239">
        <v>237690401</v>
      </c>
      <c r="S113" s="239">
        <v>1937783</v>
      </c>
      <c r="T113" s="239">
        <v>0</v>
      </c>
      <c r="U113" s="239">
        <v>0</v>
      </c>
      <c r="V113" s="239">
        <v>755837745</v>
      </c>
      <c r="W113" s="239">
        <v>471205500</v>
      </c>
      <c r="X113" s="242">
        <v>284632245</v>
      </c>
      <c r="Y113" s="239">
        <v>79914677</v>
      </c>
      <c r="Z113" s="242">
        <v>604175106</v>
      </c>
      <c r="AA113" s="242">
        <v>817093107</v>
      </c>
      <c r="AB113" s="239">
        <v>33858263</v>
      </c>
      <c r="AC113" s="239">
        <v>3261397</v>
      </c>
      <c r="AD113" s="239">
        <v>0</v>
      </c>
      <c r="AE113" s="239">
        <v>137000866</v>
      </c>
      <c r="AF113" s="242">
        <v>174120526</v>
      </c>
      <c r="AG113" s="239">
        <v>188644082</v>
      </c>
      <c r="AH113" s="239">
        <v>0</v>
      </c>
      <c r="AI113" s="239">
        <v>43615647</v>
      </c>
      <c r="AJ113" s="242">
        <v>232259729</v>
      </c>
      <c r="AK113" s="242">
        <v>406380255</v>
      </c>
      <c r="AL113" s="239">
        <v>392301953</v>
      </c>
      <c r="AM113" s="239">
        <v>0</v>
      </c>
      <c r="AN113" s="239">
        <v>18410899</v>
      </c>
      <c r="AO113" s="242">
        <v>410712852</v>
      </c>
      <c r="AP113" s="242">
        <v>817093107</v>
      </c>
      <c r="AQ113" s="239">
        <v>930385981</v>
      </c>
      <c r="AR113" s="239">
        <v>0</v>
      </c>
      <c r="AS113" s="239">
        <v>66753748</v>
      </c>
      <c r="AT113" s="239">
        <v>0</v>
      </c>
      <c r="AU113" s="239">
        <v>0</v>
      </c>
      <c r="AV113" s="239">
        <v>2554503</v>
      </c>
      <c r="AW113" s="242">
        <v>999694232</v>
      </c>
      <c r="AX113" s="239">
        <v>2585471</v>
      </c>
      <c r="AY113" s="239">
        <v>835982</v>
      </c>
      <c r="AZ113" s="239">
        <v>-15888863</v>
      </c>
      <c r="BA113" s="239">
        <v>30105351</v>
      </c>
      <c r="BB113" s="239">
        <v>-3013984</v>
      </c>
      <c r="BC113" s="242">
        <v>14623957</v>
      </c>
      <c r="BD113" s="242">
        <v>1014318189</v>
      </c>
      <c r="BE113" s="239">
        <v>688752998</v>
      </c>
      <c r="BF113" s="239">
        <v>0</v>
      </c>
      <c r="BG113" s="239">
        <v>34413735</v>
      </c>
      <c r="BH113" s="239">
        <v>9346102</v>
      </c>
      <c r="BI113" s="239">
        <v>3098211</v>
      </c>
      <c r="BJ113" s="239">
        <v>303774311</v>
      </c>
      <c r="BK113" s="239">
        <v>0</v>
      </c>
      <c r="BL113" s="242">
        <v>1039385357</v>
      </c>
      <c r="BM113" s="242">
        <v>-25067168</v>
      </c>
      <c r="BN113" s="239">
        <v>0</v>
      </c>
      <c r="BO113" s="239">
        <v>7926935</v>
      </c>
      <c r="BP113" s="239">
        <v>-17140233</v>
      </c>
      <c r="BQ113" s="239">
        <v>0</v>
      </c>
      <c r="BR113" s="239">
        <v>0</v>
      </c>
      <c r="BS113" s="242">
        <v>-17140233</v>
      </c>
      <c r="BT113" s="243">
        <v>-3.9E-2</v>
      </c>
      <c r="BU113" s="243">
        <v>1.4E-2</v>
      </c>
      <c r="BV113" s="243">
        <v>-2.5000000000000001E-2</v>
      </c>
      <c r="BW113" s="244">
        <v>1.2</v>
      </c>
      <c r="BX113" s="245">
        <v>45</v>
      </c>
      <c r="BY113" s="245">
        <v>62</v>
      </c>
      <c r="BZ113" s="246">
        <f t="shared" si="6"/>
        <v>0.50652585266363526</v>
      </c>
      <c r="CA113" s="247">
        <v>7.0000000000000007E-2</v>
      </c>
      <c r="CB113" s="247">
        <v>0.503</v>
      </c>
      <c r="CC113" s="248">
        <v>14</v>
      </c>
      <c r="CD113" s="249">
        <v>13</v>
      </c>
      <c r="CE113" s="247">
        <f t="shared" si="7"/>
        <v>0.32471877013499195</v>
      </c>
      <c r="CF113" s="242">
        <v>-25067168</v>
      </c>
      <c r="CG113" s="243">
        <v>-3.9E-2</v>
      </c>
      <c r="CH113" s="243">
        <v>1.4E-2</v>
      </c>
      <c r="CI113" s="243">
        <v>-2.5000000000000001E-2</v>
      </c>
    </row>
    <row r="114" spans="1:87" s="60" customFormat="1" ht="22.8" x14ac:dyDescent="0.3">
      <c r="A114" s="233">
        <v>122</v>
      </c>
      <c r="B114" s="233" t="s">
        <v>168</v>
      </c>
      <c r="C114" s="233" t="s">
        <v>77</v>
      </c>
      <c r="D114" s="233">
        <v>12759</v>
      </c>
      <c r="E114" s="233">
        <v>2025</v>
      </c>
      <c r="F114" s="233" t="s">
        <v>275</v>
      </c>
      <c r="G114" s="233">
        <v>5</v>
      </c>
      <c r="H114" s="233">
        <v>12</v>
      </c>
      <c r="I114" s="233" t="s">
        <v>715</v>
      </c>
      <c r="J114" s="234">
        <v>21069704</v>
      </c>
      <c r="K114" s="234">
        <v>0</v>
      </c>
      <c r="L114" s="234">
        <v>2026024</v>
      </c>
      <c r="M114" s="234">
        <v>108876826</v>
      </c>
      <c r="N114" s="234">
        <v>7231400</v>
      </c>
      <c r="O114" s="234">
        <v>6653125</v>
      </c>
      <c r="P114" s="234">
        <v>28865940</v>
      </c>
      <c r="Q114" s="242">
        <v>174723019</v>
      </c>
      <c r="R114" s="234">
        <v>227578612</v>
      </c>
      <c r="S114" s="234">
        <v>1937783</v>
      </c>
      <c r="T114" s="234">
        <v>0</v>
      </c>
      <c r="U114" s="234">
        <v>0</v>
      </c>
      <c r="V114" s="234">
        <v>657576161</v>
      </c>
      <c r="W114" s="234">
        <v>427574053</v>
      </c>
      <c r="X114" s="242">
        <v>230002108</v>
      </c>
      <c r="Y114" s="234">
        <v>50035309</v>
      </c>
      <c r="Z114" s="242">
        <v>509553812</v>
      </c>
      <c r="AA114" s="242">
        <v>684276831</v>
      </c>
      <c r="AB114" s="234">
        <v>26364654</v>
      </c>
      <c r="AC114" s="234">
        <v>2571513</v>
      </c>
      <c r="AD114" s="234">
        <v>0</v>
      </c>
      <c r="AE114" s="234">
        <v>102901830</v>
      </c>
      <c r="AF114" s="242">
        <v>131837997</v>
      </c>
      <c r="AG114" s="234">
        <v>143665403</v>
      </c>
      <c r="AH114" s="234">
        <v>0</v>
      </c>
      <c r="AI114" s="234">
        <v>37613304</v>
      </c>
      <c r="AJ114" s="242">
        <v>181278707</v>
      </c>
      <c r="AK114" s="242">
        <v>313116704</v>
      </c>
      <c r="AL114" s="234">
        <v>356242248</v>
      </c>
      <c r="AM114" s="234">
        <v>0</v>
      </c>
      <c r="AN114" s="234">
        <v>14917879</v>
      </c>
      <c r="AO114" s="242">
        <v>371160127</v>
      </c>
      <c r="AP114" s="242">
        <v>684276831</v>
      </c>
      <c r="AQ114" s="234">
        <v>833889643</v>
      </c>
      <c r="AR114" s="234">
        <v>0</v>
      </c>
      <c r="AS114" s="234">
        <v>55895456</v>
      </c>
      <c r="AT114" s="234">
        <v>0</v>
      </c>
      <c r="AU114" s="234">
        <v>0</v>
      </c>
      <c r="AV114" s="234">
        <v>2554503</v>
      </c>
      <c r="AW114" s="242">
        <v>892339602</v>
      </c>
      <c r="AX114" s="234">
        <v>2136079</v>
      </c>
      <c r="AY114" s="234">
        <v>839426</v>
      </c>
      <c r="AZ114" s="234">
        <v>-13594155</v>
      </c>
      <c r="BA114" s="234">
        <v>28215786</v>
      </c>
      <c r="BB114" s="234">
        <v>-3198775</v>
      </c>
      <c r="BC114" s="242">
        <v>14398361</v>
      </c>
      <c r="BD114" s="242">
        <v>906737963</v>
      </c>
      <c r="BE114" s="234">
        <v>533624530</v>
      </c>
      <c r="BF114" s="234">
        <v>0</v>
      </c>
      <c r="BG114" s="234">
        <v>29405730</v>
      </c>
      <c r="BH114" s="234">
        <v>6917178</v>
      </c>
      <c r="BI114" s="234">
        <v>3098211</v>
      </c>
      <c r="BJ114" s="234">
        <v>340811984</v>
      </c>
      <c r="BK114" s="234">
        <v>0</v>
      </c>
      <c r="BL114" s="242">
        <v>913857633</v>
      </c>
      <c r="BM114" s="242">
        <v>-7119670</v>
      </c>
      <c r="BN114" s="234">
        <v>0</v>
      </c>
      <c r="BO114" s="234">
        <v>7926935</v>
      </c>
      <c r="BP114" s="234">
        <v>807265</v>
      </c>
      <c r="BQ114" s="234">
        <v>0</v>
      </c>
      <c r="BR114" s="234">
        <v>0</v>
      </c>
      <c r="BS114" s="242">
        <v>807265</v>
      </c>
      <c r="BT114" s="243">
        <v>-2.4E-2</v>
      </c>
      <c r="BU114" s="243">
        <v>1.6E-2</v>
      </c>
      <c r="BV114" s="243">
        <v>-8.0000000000000002E-3</v>
      </c>
      <c r="BW114" s="244">
        <v>1.3</v>
      </c>
      <c r="BX114" s="245">
        <v>48</v>
      </c>
      <c r="BY114" s="245">
        <v>53</v>
      </c>
      <c r="BZ114" s="246">
        <f t="shared" si="6"/>
        <v>0.7673856611781622</v>
      </c>
      <c r="CA114" s="247">
        <v>0.13</v>
      </c>
      <c r="CB114" s="247">
        <v>0.54200000000000004</v>
      </c>
      <c r="CC114" s="248">
        <v>15</v>
      </c>
      <c r="CD114" s="249">
        <v>9</v>
      </c>
      <c r="CE114" s="247">
        <f t="shared" si="7"/>
        <v>0.28738388522883401</v>
      </c>
      <c r="CF114" s="242">
        <v>-7119670</v>
      </c>
      <c r="CG114" s="243">
        <v>-2.4E-2</v>
      </c>
      <c r="CH114" s="243">
        <v>1.6E-2</v>
      </c>
      <c r="CI114" s="243">
        <v>-8.0000000000000002E-3</v>
      </c>
    </row>
    <row r="115" spans="1:87" s="60" customFormat="1" ht="22.8" hidden="1" x14ac:dyDescent="0.3">
      <c r="A115" s="233">
        <v>4027</v>
      </c>
      <c r="B115" s="233" t="s">
        <v>170</v>
      </c>
      <c r="C115" s="233" t="s">
        <v>75</v>
      </c>
      <c r="D115" s="233">
        <v>4027</v>
      </c>
      <c r="E115" s="233">
        <v>2025</v>
      </c>
      <c r="F115" s="233" t="s">
        <v>275</v>
      </c>
      <c r="G115" s="233">
        <v>5</v>
      </c>
      <c r="H115" s="233">
        <v>12</v>
      </c>
      <c r="I115" s="233" t="s">
        <v>715</v>
      </c>
      <c r="J115" s="234">
        <v>74192413.261000007</v>
      </c>
      <c r="K115" s="234">
        <v>6213512.21</v>
      </c>
      <c r="L115" s="234">
        <v>9376212.8900000006</v>
      </c>
      <c r="M115" s="234">
        <v>156655298.611</v>
      </c>
      <c r="N115" s="234">
        <v>0</v>
      </c>
      <c r="O115" s="234">
        <v>25748788.41</v>
      </c>
      <c r="P115" s="234">
        <v>63831146.527999997</v>
      </c>
      <c r="Q115" s="242">
        <v>336017371.91000003</v>
      </c>
      <c r="R115" s="234">
        <v>172961718.49700001</v>
      </c>
      <c r="S115" s="234">
        <v>445228.44</v>
      </c>
      <c r="T115" s="234">
        <v>0</v>
      </c>
      <c r="U115" s="234">
        <v>0</v>
      </c>
      <c r="V115" s="234">
        <v>1147528092.2880001</v>
      </c>
      <c r="W115" s="234">
        <v>768396374.24000001</v>
      </c>
      <c r="X115" s="242">
        <v>379131718.04799998</v>
      </c>
      <c r="Y115" s="234">
        <v>843796181.86500001</v>
      </c>
      <c r="Z115" s="242">
        <v>1396334846.8499999</v>
      </c>
      <c r="AA115" s="242">
        <v>1732352218.76</v>
      </c>
      <c r="AB115" s="234">
        <v>12165183.109999999</v>
      </c>
      <c r="AC115" s="234">
        <v>3087406.1919999998</v>
      </c>
      <c r="AD115" s="234">
        <v>0</v>
      </c>
      <c r="AE115" s="234">
        <v>248252436.505</v>
      </c>
      <c r="AF115" s="242">
        <v>263505025.80700001</v>
      </c>
      <c r="AG115" s="234">
        <v>214280014.86000001</v>
      </c>
      <c r="AH115" s="234">
        <v>0</v>
      </c>
      <c r="AI115" s="234">
        <v>158735803.25999999</v>
      </c>
      <c r="AJ115" s="242">
        <v>373015818.12</v>
      </c>
      <c r="AK115" s="242">
        <v>636520843.92700005</v>
      </c>
      <c r="AL115" s="234">
        <v>988879151.61399996</v>
      </c>
      <c r="AM115" s="234">
        <v>35858881.181000002</v>
      </c>
      <c r="AN115" s="234">
        <v>71093342.035999998</v>
      </c>
      <c r="AO115" s="242">
        <v>1095831374.8310001</v>
      </c>
      <c r="AP115" s="242">
        <v>1732352218.7579999</v>
      </c>
      <c r="AQ115" s="234">
        <v>1463102998.28</v>
      </c>
      <c r="AR115" s="234">
        <v>0</v>
      </c>
      <c r="AS115" s="234">
        <v>215353449.96000001</v>
      </c>
      <c r="AT115" s="234">
        <v>5708150.8099999996</v>
      </c>
      <c r="AU115" s="234">
        <v>0</v>
      </c>
      <c r="AV115" s="234">
        <v>3878870.3</v>
      </c>
      <c r="AW115" s="242">
        <v>1688043469.3499999</v>
      </c>
      <c r="AX115" s="234">
        <v>14706571.67</v>
      </c>
      <c r="AY115" s="234">
        <v>1264313.58</v>
      </c>
      <c r="AZ115" s="234">
        <v>45029817.200000003</v>
      </c>
      <c r="BA115" s="234">
        <v>16100142.869999999</v>
      </c>
      <c r="BB115" s="234">
        <v>0</v>
      </c>
      <c r="BC115" s="242">
        <v>77100845.319999993</v>
      </c>
      <c r="BD115" s="242">
        <v>1765144314.6700001</v>
      </c>
      <c r="BE115" s="234">
        <v>986405391.13999999</v>
      </c>
      <c r="BF115" s="234">
        <v>0</v>
      </c>
      <c r="BG115" s="234">
        <v>57721313.630000003</v>
      </c>
      <c r="BH115" s="234">
        <v>6934406.4000000004</v>
      </c>
      <c r="BI115" s="234">
        <v>102632832</v>
      </c>
      <c r="BJ115" s="234">
        <v>527911958.56999999</v>
      </c>
      <c r="BK115" s="234">
        <v>0</v>
      </c>
      <c r="BL115" s="242">
        <v>1681605901.74</v>
      </c>
      <c r="BM115" s="242">
        <v>83538412.929999799</v>
      </c>
      <c r="BN115" s="234">
        <v>0</v>
      </c>
      <c r="BO115" s="234">
        <v>28133.8299999997</v>
      </c>
      <c r="BP115" s="234">
        <v>83566546.759999797</v>
      </c>
      <c r="BQ115" s="234">
        <v>0</v>
      </c>
      <c r="BR115" s="234">
        <v>0</v>
      </c>
      <c r="BS115" s="242">
        <v>83566546.759999797</v>
      </c>
      <c r="BT115" s="243">
        <v>4.0000000000000001E-3</v>
      </c>
      <c r="BU115" s="243">
        <v>4.3999999999999997E-2</v>
      </c>
      <c r="BV115" s="243">
        <v>4.7E-2</v>
      </c>
      <c r="BW115" s="244">
        <v>1.3</v>
      </c>
      <c r="BX115" s="245">
        <v>39</v>
      </c>
      <c r="BY115" s="245">
        <v>59</v>
      </c>
      <c r="BZ115" s="246">
        <f t="shared" si="6"/>
        <v>1.4761695115982685</v>
      </c>
      <c r="CA115" s="247">
        <v>0.20100000000000001</v>
      </c>
      <c r="CB115" s="247">
        <v>0.63300000000000001</v>
      </c>
      <c r="CC115" s="248">
        <v>13</v>
      </c>
      <c r="CD115" s="249">
        <v>18</v>
      </c>
      <c r="CE115" s="247">
        <f t="shared" si="7"/>
        <v>0.17809781185308415</v>
      </c>
      <c r="CF115" s="242">
        <v>77830262.1199999</v>
      </c>
      <c r="CG115" s="243">
        <v>0</v>
      </c>
      <c r="CH115" s="243">
        <v>4.3999999999999997E-2</v>
      </c>
      <c r="CI115" s="243">
        <v>4.3999999999999997E-2</v>
      </c>
    </row>
    <row r="116" spans="1:87" s="60" customFormat="1" ht="22.8" x14ac:dyDescent="0.3">
      <c r="A116" s="238">
        <v>3113</v>
      </c>
      <c r="B116" s="238" t="s">
        <v>171</v>
      </c>
      <c r="C116" s="238" t="s">
        <v>77</v>
      </c>
      <c r="D116" s="238">
        <v>4027</v>
      </c>
      <c r="E116" s="238">
        <v>2025</v>
      </c>
      <c r="F116" s="238" t="s">
        <v>275</v>
      </c>
      <c r="G116" s="238">
        <v>5</v>
      </c>
      <c r="H116" s="238">
        <v>12</v>
      </c>
      <c r="I116" s="238" t="s">
        <v>715</v>
      </c>
      <c r="J116" s="239">
        <v>41887439.081</v>
      </c>
      <c r="K116" s="239">
        <v>2193438.46</v>
      </c>
      <c r="L116" s="239">
        <v>1687343.92</v>
      </c>
      <c r="M116" s="239">
        <v>124937868.00399999</v>
      </c>
      <c r="N116" s="239">
        <v>53212406.718000002</v>
      </c>
      <c r="O116" s="239">
        <v>22324620.77</v>
      </c>
      <c r="P116" s="239">
        <v>52190618.289999999</v>
      </c>
      <c r="Q116" s="242">
        <v>298433735.24299997</v>
      </c>
      <c r="R116" s="239">
        <v>113244693.60699999</v>
      </c>
      <c r="S116" s="239">
        <v>445228.44</v>
      </c>
      <c r="T116" s="239">
        <v>0</v>
      </c>
      <c r="U116" s="239">
        <v>0</v>
      </c>
      <c r="V116" s="239">
        <v>1043272269.53</v>
      </c>
      <c r="W116" s="239">
        <v>727312348.87</v>
      </c>
      <c r="X116" s="242">
        <v>315959920.66000003</v>
      </c>
      <c r="Y116" s="239">
        <v>511988198.29000002</v>
      </c>
      <c r="Z116" s="242">
        <v>941638040.99699998</v>
      </c>
      <c r="AA116" s="242">
        <v>1240071776.24</v>
      </c>
      <c r="AB116" s="239">
        <v>11798335.960000001</v>
      </c>
      <c r="AC116" s="239">
        <v>2586922.3420000002</v>
      </c>
      <c r="AD116" s="239">
        <v>19034654.855999999</v>
      </c>
      <c r="AE116" s="239">
        <v>169850765.19</v>
      </c>
      <c r="AF116" s="242">
        <v>203270678.34799999</v>
      </c>
      <c r="AG116" s="239">
        <v>199967268.68000001</v>
      </c>
      <c r="AH116" s="239">
        <v>0</v>
      </c>
      <c r="AI116" s="239">
        <v>77700823.450000003</v>
      </c>
      <c r="AJ116" s="242">
        <v>277668092.13</v>
      </c>
      <c r="AK116" s="242">
        <v>480938770.47799999</v>
      </c>
      <c r="AL116" s="239">
        <v>655336033.61300099</v>
      </c>
      <c r="AM116" s="239">
        <v>35071859.740999997</v>
      </c>
      <c r="AN116" s="239">
        <v>68725112.406000003</v>
      </c>
      <c r="AO116" s="242">
        <v>759133005.76000094</v>
      </c>
      <c r="AP116" s="242">
        <v>1240071776.2379999</v>
      </c>
      <c r="AQ116" s="239">
        <v>1148901436.8599999</v>
      </c>
      <c r="AR116" s="239">
        <v>0</v>
      </c>
      <c r="AS116" s="239">
        <v>202529105.63</v>
      </c>
      <c r="AT116" s="239">
        <v>5708150.8099999996</v>
      </c>
      <c r="AU116" s="239">
        <v>0</v>
      </c>
      <c r="AV116" s="239">
        <v>3698157.63</v>
      </c>
      <c r="AW116" s="242">
        <v>1360836850.9300001</v>
      </c>
      <c r="AX116" s="239">
        <v>9341316.2699999996</v>
      </c>
      <c r="AY116" s="239">
        <v>827767.57</v>
      </c>
      <c r="AZ116" s="239">
        <v>27080677.670000002</v>
      </c>
      <c r="BA116" s="239">
        <v>11447722.619999999</v>
      </c>
      <c r="BB116" s="239">
        <v>0</v>
      </c>
      <c r="BC116" s="242">
        <v>48697484.130000003</v>
      </c>
      <c r="BD116" s="242">
        <v>1409534335.0599999</v>
      </c>
      <c r="BE116" s="239">
        <v>597941282.89999998</v>
      </c>
      <c r="BF116" s="239">
        <v>0</v>
      </c>
      <c r="BG116" s="239">
        <v>53441744.229999997</v>
      </c>
      <c r="BH116" s="239">
        <v>6627642.8499999996</v>
      </c>
      <c r="BI116" s="239">
        <v>102632832</v>
      </c>
      <c r="BJ116" s="239">
        <v>524816326.47000003</v>
      </c>
      <c r="BK116" s="239">
        <v>0</v>
      </c>
      <c r="BL116" s="242">
        <v>1285459828.45</v>
      </c>
      <c r="BM116" s="242">
        <v>124074506.61</v>
      </c>
      <c r="BN116" s="239">
        <v>-73487668.030000001</v>
      </c>
      <c r="BO116" s="239">
        <v>203641.96</v>
      </c>
      <c r="BP116" s="239">
        <v>50790480.540000401</v>
      </c>
      <c r="BQ116" s="239">
        <v>0</v>
      </c>
      <c r="BR116" s="239">
        <v>0</v>
      </c>
      <c r="BS116" s="242">
        <v>50790480.540000401</v>
      </c>
      <c r="BT116" s="243">
        <v>5.2999999999999999E-2</v>
      </c>
      <c r="BU116" s="243">
        <v>3.5000000000000003E-2</v>
      </c>
      <c r="BV116" s="243">
        <v>8.7999999999999995E-2</v>
      </c>
      <c r="BW116" s="244">
        <v>1.5</v>
      </c>
      <c r="BX116" s="245">
        <v>40</v>
      </c>
      <c r="BY116" s="245">
        <v>59</v>
      </c>
      <c r="BZ116" s="246">
        <f t="shared" si="6"/>
        <v>2.4074650975685747</v>
      </c>
      <c r="CA116" s="247">
        <v>0.373</v>
      </c>
      <c r="CB116" s="247">
        <v>0.61199999999999999</v>
      </c>
      <c r="CC116" s="248">
        <v>14</v>
      </c>
      <c r="CD116" s="249">
        <v>13</v>
      </c>
      <c r="CE116" s="247">
        <f t="shared" si="7"/>
        <v>0.23379690940500694</v>
      </c>
      <c r="CF116" s="242">
        <v>118366355.8</v>
      </c>
      <c r="CG116" s="243">
        <v>0.05</v>
      </c>
      <c r="CH116" s="243">
        <v>3.5000000000000003E-2</v>
      </c>
      <c r="CI116" s="243">
        <v>8.4000000000000005E-2</v>
      </c>
    </row>
    <row r="117" spans="1:87" s="60" customFormat="1" ht="22.8" hidden="1" x14ac:dyDescent="0.3">
      <c r="A117" s="238">
        <v>11497</v>
      </c>
      <c r="B117" s="238" t="s">
        <v>172</v>
      </c>
      <c r="C117" s="238" t="s">
        <v>83</v>
      </c>
      <c r="D117" s="238">
        <v>4027</v>
      </c>
      <c r="E117" s="238">
        <v>2025</v>
      </c>
      <c r="F117" s="238" t="s">
        <v>275</v>
      </c>
      <c r="G117" s="238">
        <v>5</v>
      </c>
      <c r="H117" s="238">
        <v>12</v>
      </c>
      <c r="I117" s="238" t="s">
        <v>715</v>
      </c>
      <c r="J117" s="239">
        <v>0</v>
      </c>
      <c r="K117" s="239">
        <v>0</v>
      </c>
      <c r="L117" s="239">
        <v>0</v>
      </c>
      <c r="M117" s="239">
        <v>0</v>
      </c>
      <c r="N117" s="239">
        <v>0</v>
      </c>
      <c r="O117" s="239">
        <v>0</v>
      </c>
      <c r="P117" s="239">
        <v>0</v>
      </c>
      <c r="Q117" s="242">
        <v>0</v>
      </c>
      <c r="R117" s="239">
        <v>0</v>
      </c>
      <c r="S117" s="239">
        <v>0</v>
      </c>
      <c r="T117" s="239">
        <v>0</v>
      </c>
      <c r="U117" s="239">
        <v>0</v>
      </c>
      <c r="V117" s="239">
        <v>0</v>
      </c>
      <c r="W117" s="239">
        <v>0</v>
      </c>
      <c r="X117" s="242">
        <v>0</v>
      </c>
      <c r="Y117" s="239">
        <v>0</v>
      </c>
      <c r="Z117" s="242">
        <v>0</v>
      </c>
      <c r="AA117" s="242">
        <v>0</v>
      </c>
      <c r="AB117" s="239">
        <v>0</v>
      </c>
      <c r="AC117" s="239">
        <v>0</v>
      </c>
      <c r="AD117" s="239">
        <v>0</v>
      </c>
      <c r="AE117" s="239">
        <v>0</v>
      </c>
      <c r="AF117" s="242">
        <v>0</v>
      </c>
      <c r="AG117" s="239">
        <v>0</v>
      </c>
      <c r="AH117" s="239">
        <v>0</v>
      </c>
      <c r="AI117" s="239">
        <v>0</v>
      </c>
      <c r="AJ117" s="242">
        <v>0</v>
      </c>
      <c r="AK117" s="242">
        <v>0</v>
      </c>
      <c r="AL117" s="239">
        <v>0</v>
      </c>
      <c r="AM117" s="239">
        <v>0</v>
      </c>
      <c r="AN117" s="239">
        <v>0</v>
      </c>
      <c r="AO117" s="242">
        <v>0</v>
      </c>
      <c r="AP117" s="242">
        <v>0</v>
      </c>
      <c r="AQ117" s="239">
        <v>246857080.96000001</v>
      </c>
      <c r="AR117" s="239">
        <v>0</v>
      </c>
      <c r="AS117" s="239">
        <v>91038776.689999998</v>
      </c>
      <c r="AT117" s="239">
        <v>0</v>
      </c>
      <c r="AU117" s="239">
        <v>0</v>
      </c>
      <c r="AV117" s="239">
        <v>0</v>
      </c>
      <c r="AW117" s="242">
        <v>337895857.64999998</v>
      </c>
      <c r="AX117" s="239">
        <v>0</v>
      </c>
      <c r="AY117" s="239">
        <v>0</v>
      </c>
      <c r="AZ117" s="239">
        <v>0</v>
      </c>
      <c r="BA117" s="239">
        <v>0</v>
      </c>
      <c r="BB117" s="239">
        <v>0</v>
      </c>
      <c r="BC117" s="242">
        <v>0</v>
      </c>
      <c r="BD117" s="242">
        <v>337895857.64999998</v>
      </c>
      <c r="BE117" s="239">
        <v>347274289.82999998</v>
      </c>
      <c r="BF117" s="239">
        <v>0</v>
      </c>
      <c r="BG117" s="239">
        <v>3104310.66</v>
      </c>
      <c r="BH117" s="239">
        <v>0</v>
      </c>
      <c r="BI117" s="239">
        <v>0</v>
      </c>
      <c r="BJ117" s="239">
        <v>66752650.539999999</v>
      </c>
      <c r="BK117" s="239">
        <v>0</v>
      </c>
      <c r="BL117" s="242">
        <v>417131251.02999997</v>
      </c>
      <c r="BM117" s="242">
        <v>-79235393.3800001</v>
      </c>
      <c r="BN117" s="239">
        <v>79235393.379999995</v>
      </c>
      <c r="BO117" s="239">
        <v>0</v>
      </c>
      <c r="BP117" s="239">
        <v>-5.9604644775390599E-8</v>
      </c>
      <c r="BQ117" s="239">
        <v>0</v>
      </c>
      <c r="BR117" s="239">
        <v>0</v>
      </c>
      <c r="BS117" s="242">
        <v>-5.9604644775390599E-8</v>
      </c>
      <c r="BT117" s="243">
        <v>-0.23400000000000001</v>
      </c>
      <c r="BU117" s="243">
        <v>0</v>
      </c>
      <c r="BV117" s="243">
        <v>-0.23400000000000001</v>
      </c>
      <c r="BW117" s="244">
        <v>0</v>
      </c>
      <c r="BX117" s="245">
        <v>0</v>
      </c>
      <c r="BY117" s="245">
        <v>0</v>
      </c>
      <c r="BZ117" s="246">
        <f t="shared" si="6"/>
        <v>-24.524311854793584</v>
      </c>
      <c r="CA117" s="247">
        <v>0</v>
      </c>
      <c r="CB117" s="247">
        <v>0</v>
      </c>
      <c r="CC117" s="248">
        <v>0</v>
      </c>
      <c r="CD117" s="249">
        <v>0</v>
      </c>
      <c r="CE117" s="247" t="e">
        <f t="shared" si="7"/>
        <v>#DIV/0!</v>
      </c>
      <c r="CF117" s="242">
        <v>-79235393.3800001</v>
      </c>
      <c r="CG117" s="243">
        <v>-0.23400000000000001</v>
      </c>
      <c r="CH117" s="243">
        <v>0</v>
      </c>
      <c r="CI117" s="243">
        <v>-0.23400000000000001</v>
      </c>
    </row>
    <row r="118" spans="1:87" s="60" customFormat="1" ht="22.8" x14ac:dyDescent="0.3">
      <c r="A118" s="233">
        <v>114</v>
      </c>
      <c r="B118" s="233" t="s">
        <v>177</v>
      </c>
      <c r="C118" s="233" t="s">
        <v>77</v>
      </c>
      <c r="D118" s="233">
        <v>22350</v>
      </c>
      <c r="E118" s="233">
        <v>2025</v>
      </c>
      <c r="F118" s="233" t="s">
        <v>275</v>
      </c>
      <c r="G118" s="233">
        <v>5</v>
      </c>
      <c r="H118" s="233">
        <v>12</v>
      </c>
      <c r="I118" s="233" t="s">
        <v>715</v>
      </c>
      <c r="J118" s="234">
        <v>337000</v>
      </c>
      <c r="K118" s="234">
        <v>0</v>
      </c>
      <c r="L118" s="234">
        <v>0</v>
      </c>
      <c r="M118" s="234">
        <v>43899000</v>
      </c>
      <c r="N118" s="234">
        <v>0</v>
      </c>
      <c r="O118" s="234">
        <v>0</v>
      </c>
      <c r="P118" s="234">
        <v>334871000</v>
      </c>
      <c r="Q118" s="242">
        <v>379107000</v>
      </c>
      <c r="R118" s="234">
        <v>15970000</v>
      </c>
      <c r="S118" s="234">
        <v>0</v>
      </c>
      <c r="T118" s="234">
        <v>0</v>
      </c>
      <c r="U118" s="234">
        <v>0</v>
      </c>
      <c r="V118" s="234">
        <v>82816000</v>
      </c>
      <c r="W118" s="234">
        <v>6315000</v>
      </c>
      <c r="X118" s="242">
        <v>76501000</v>
      </c>
      <c r="Y118" s="234">
        <v>26720000</v>
      </c>
      <c r="Z118" s="242">
        <v>119191000</v>
      </c>
      <c r="AA118" s="242">
        <v>498298000</v>
      </c>
      <c r="AB118" s="234">
        <v>0</v>
      </c>
      <c r="AC118" s="234">
        <v>1858000</v>
      </c>
      <c r="AD118" s="234">
        <v>0</v>
      </c>
      <c r="AE118" s="234">
        <v>315682000</v>
      </c>
      <c r="AF118" s="242">
        <v>317540000</v>
      </c>
      <c r="AG118" s="234">
        <v>228473000</v>
      </c>
      <c r="AH118" s="234">
        <v>0</v>
      </c>
      <c r="AI118" s="234">
        <v>6550000</v>
      </c>
      <c r="AJ118" s="242">
        <v>235023000</v>
      </c>
      <c r="AK118" s="242">
        <v>552563000</v>
      </c>
      <c r="AL118" s="234">
        <v>-54265000</v>
      </c>
      <c r="AM118" s="234">
        <v>0</v>
      </c>
      <c r="AN118" s="234">
        <v>0</v>
      </c>
      <c r="AO118" s="242">
        <v>-54265000</v>
      </c>
      <c r="AP118" s="242">
        <v>498298000</v>
      </c>
      <c r="AQ118" s="234">
        <v>292189000</v>
      </c>
      <c r="AR118" s="234">
        <v>0</v>
      </c>
      <c r="AS118" s="234">
        <v>1665000</v>
      </c>
      <c r="AT118" s="234">
        <v>0</v>
      </c>
      <c r="AU118" s="234">
        <v>0</v>
      </c>
      <c r="AV118" s="234">
        <v>0</v>
      </c>
      <c r="AW118" s="242">
        <v>293854000</v>
      </c>
      <c r="AX118" s="234">
        <v>0</v>
      </c>
      <c r="AY118" s="234">
        <v>0</v>
      </c>
      <c r="AZ118" s="234">
        <v>0</v>
      </c>
      <c r="BA118" s="234">
        <v>7420000</v>
      </c>
      <c r="BB118" s="234">
        <v>0</v>
      </c>
      <c r="BC118" s="242">
        <v>7420000</v>
      </c>
      <c r="BD118" s="242">
        <v>301274000</v>
      </c>
      <c r="BE118" s="234">
        <v>138841000</v>
      </c>
      <c r="BF118" s="234">
        <v>0</v>
      </c>
      <c r="BG118" s="234">
        <v>6576000</v>
      </c>
      <c r="BH118" s="234">
        <v>13069000</v>
      </c>
      <c r="BI118" s="234">
        <v>5354292</v>
      </c>
      <c r="BJ118" s="234">
        <v>146325708</v>
      </c>
      <c r="BK118" s="234">
        <v>0</v>
      </c>
      <c r="BL118" s="242">
        <v>310166000</v>
      </c>
      <c r="BM118" s="242">
        <v>-8892000</v>
      </c>
      <c r="BN118" s="234">
        <v>-45374000</v>
      </c>
      <c r="BO118" s="234">
        <v>1000</v>
      </c>
      <c r="BP118" s="234">
        <v>-54265000</v>
      </c>
      <c r="BQ118" s="234">
        <v>0</v>
      </c>
      <c r="BR118" s="234">
        <v>0</v>
      </c>
      <c r="BS118" s="242">
        <v>-54265000</v>
      </c>
      <c r="BT118" s="243">
        <v>-5.3999999999999999E-2</v>
      </c>
      <c r="BU118" s="243">
        <v>2.5000000000000001E-2</v>
      </c>
      <c r="BV118" s="243">
        <v>-0.03</v>
      </c>
      <c r="BW118" s="244">
        <v>1.2</v>
      </c>
      <c r="BX118" s="245">
        <v>55</v>
      </c>
      <c r="BY118" s="245">
        <v>380</v>
      </c>
      <c r="BZ118" s="246">
        <f t="shared" si="6"/>
        <v>1.6351885644768855</v>
      </c>
      <c r="CA118" s="247">
        <v>-4.0000000000000001E-3</v>
      </c>
      <c r="CB118" s="247">
        <v>-0.109</v>
      </c>
      <c r="CC118" s="248">
        <v>1</v>
      </c>
      <c r="CD118" s="249">
        <v>0</v>
      </c>
      <c r="CE118" s="247">
        <f t="shared" si="7"/>
        <v>1.311495453710507</v>
      </c>
      <c r="CF118" s="242">
        <v>-8892000</v>
      </c>
      <c r="CG118" s="243">
        <v>-5.3999999999999999E-2</v>
      </c>
      <c r="CH118" s="243">
        <v>2.5000000000000001E-2</v>
      </c>
      <c r="CI118" s="243">
        <v>-0.03</v>
      </c>
    </row>
    <row r="119" spans="1:87" s="60" customFormat="1" ht="22.8" hidden="1" x14ac:dyDescent="0.3">
      <c r="A119" s="238">
        <v>11397</v>
      </c>
      <c r="B119" s="238" t="s">
        <v>182</v>
      </c>
      <c r="C119" s="238" t="s">
        <v>83</v>
      </c>
      <c r="D119" s="238">
        <v>12773</v>
      </c>
      <c r="E119" s="238">
        <v>2025</v>
      </c>
      <c r="F119" s="238" t="s">
        <v>275</v>
      </c>
      <c r="G119" s="238">
        <v>5</v>
      </c>
      <c r="H119" s="238">
        <v>12</v>
      </c>
      <c r="I119" s="238" t="s">
        <v>715</v>
      </c>
      <c r="J119" s="239">
        <v>0</v>
      </c>
      <c r="K119" s="239">
        <v>0</v>
      </c>
      <c r="L119" s="239">
        <v>0</v>
      </c>
      <c r="M119" s="239">
        <v>0</v>
      </c>
      <c r="N119" s="239">
        <v>0</v>
      </c>
      <c r="O119" s="239">
        <v>0</v>
      </c>
      <c r="P119" s="239">
        <v>0</v>
      </c>
      <c r="Q119" s="242">
        <v>0</v>
      </c>
      <c r="R119" s="239">
        <v>0</v>
      </c>
      <c r="S119" s="239">
        <v>0</v>
      </c>
      <c r="T119" s="239">
        <v>0</v>
      </c>
      <c r="U119" s="239">
        <v>0</v>
      </c>
      <c r="V119" s="239">
        <v>0</v>
      </c>
      <c r="W119" s="239">
        <v>0</v>
      </c>
      <c r="X119" s="242">
        <v>0</v>
      </c>
      <c r="Y119" s="239">
        <v>0</v>
      </c>
      <c r="Z119" s="242">
        <v>0</v>
      </c>
      <c r="AA119" s="242">
        <v>0</v>
      </c>
      <c r="AB119" s="239">
        <v>0</v>
      </c>
      <c r="AC119" s="239">
        <v>0</v>
      </c>
      <c r="AD119" s="239">
        <v>0</v>
      </c>
      <c r="AE119" s="239">
        <v>0</v>
      </c>
      <c r="AF119" s="242">
        <v>0</v>
      </c>
      <c r="AG119" s="239">
        <v>0</v>
      </c>
      <c r="AH119" s="239">
        <v>0</v>
      </c>
      <c r="AI119" s="239">
        <v>0</v>
      </c>
      <c r="AJ119" s="242">
        <v>0</v>
      </c>
      <c r="AK119" s="242">
        <v>0</v>
      </c>
      <c r="AL119" s="239">
        <v>0</v>
      </c>
      <c r="AM119" s="239">
        <v>0</v>
      </c>
      <c r="AN119" s="239">
        <v>0</v>
      </c>
      <c r="AO119" s="242">
        <v>0</v>
      </c>
      <c r="AP119" s="242">
        <v>0</v>
      </c>
      <c r="AQ119" s="239">
        <v>64292997</v>
      </c>
      <c r="AR119" s="239">
        <v>158972</v>
      </c>
      <c r="AS119" s="239">
        <v>3948494</v>
      </c>
      <c r="AT119" s="239">
        <v>0</v>
      </c>
      <c r="AU119" s="239">
        <v>0</v>
      </c>
      <c r="AV119" s="239">
        <v>0</v>
      </c>
      <c r="AW119" s="242">
        <v>68400463</v>
      </c>
      <c r="AX119" s="239">
        <v>0</v>
      </c>
      <c r="AY119" s="239">
        <v>0</v>
      </c>
      <c r="AZ119" s="239">
        <v>0</v>
      </c>
      <c r="BA119" s="239">
        <v>29970</v>
      </c>
      <c r="BB119" s="239">
        <v>0</v>
      </c>
      <c r="BC119" s="242">
        <v>29970</v>
      </c>
      <c r="BD119" s="242">
        <v>68430433</v>
      </c>
      <c r="BE119" s="239">
        <v>77353948</v>
      </c>
      <c r="BF119" s="239">
        <v>0</v>
      </c>
      <c r="BG119" s="239">
        <v>378686</v>
      </c>
      <c r="BH119" s="239">
        <v>0</v>
      </c>
      <c r="BI119" s="239">
        <v>0</v>
      </c>
      <c r="BJ119" s="239">
        <v>14510175</v>
      </c>
      <c r="BK119" s="239">
        <v>0</v>
      </c>
      <c r="BL119" s="242">
        <v>92242809</v>
      </c>
      <c r="BM119" s="242">
        <v>-23812376</v>
      </c>
      <c r="BN119" s="239">
        <v>0</v>
      </c>
      <c r="BO119" s="239">
        <v>0</v>
      </c>
      <c r="BP119" s="239">
        <v>-23812376</v>
      </c>
      <c r="BQ119" s="239">
        <v>0</v>
      </c>
      <c r="BR119" s="239">
        <v>0</v>
      </c>
      <c r="BS119" s="242">
        <v>-23812376</v>
      </c>
      <c r="BT119" s="243">
        <v>-0.34799999999999998</v>
      </c>
      <c r="BU119" s="243">
        <v>0</v>
      </c>
      <c r="BV119" s="243">
        <v>-0.34799999999999998</v>
      </c>
      <c r="BW119" s="244">
        <v>0</v>
      </c>
      <c r="BX119" s="245">
        <v>0</v>
      </c>
      <c r="BY119" s="245">
        <v>0</v>
      </c>
      <c r="BZ119" s="246">
        <f t="shared" si="6"/>
        <v>-61.881585271174536</v>
      </c>
      <c r="CA119" s="247">
        <v>0</v>
      </c>
      <c r="CB119" s="247">
        <v>0</v>
      </c>
      <c r="CC119" s="248">
        <v>0</v>
      </c>
      <c r="CD119" s="249">
        <v>0</v>
      </c>
      <c r="CE119" s="247" t="e">
        <f t="shared" si="7"/>
        <v>#DIV/0!</v>
      </c>
      <c r="CF119" s="242">
        <v>-23812376</v>
      </c>
      <c r="CG119" s="243">
        <v>-0.34799999999999998</v>
      </c>
      <c r="CH119" s="243">
        <v>0</v>
      </c>
      <c r="CI119" s="243">
        <v>-0.34799999999999998</v>
      </c>
    </row>
    <row r="120" spans="1:87" s="60" customFormat="1" ht="34.200000000000003" hidden="1" x14ac:dyDescent="0.3">
      <c r="A120" s="233">
        <v>12773</v>
      </c>
      <c r="B120" s="233" t="s">
        <v>179</v>
      </c>
      <c r="C120" s="233" t="s">
        <v>75</v>
      </c>
      <c r="D120" s="233">
        <v>12773</v>
      </c>
      <c r="E120" s="233">
        <v>2025</v>
      </c>
      <c r="F120" s="233" t="s">
        <v>275</v>
      </c>
      <c r="G120" s="233">
        <v>5</v>
      </c>
      <c r="H120" s="233">
        <v>12</v>
      </c>
      <c r="I120" s="233" t="s">
        <v>715</v>
      </c>
      <c r="J120" s="234">
        <v>26975136</v>
      </c>
      <c r="K120" s="234">
        <v>0</v>
      </c>
      <c r="L120" s="234">
        <v>0</v>
      </c>
      <c r="M120" s="234">
        <v>32639189</v>
      </c>
      <c r="N120" s="234">
        <v>0</v>
      </c>
      <c r="O120" s="234">
        <v>0</v>
      </c>
      <c r="P120" s="234">
        <v>13634915</v>
      </c>
      <c r="Q120" s="242">
        <v>73249240</v>
      </c>
      <c r="R120" s="234">
        <v>13974037</v>
      </c>
      <c r="S120" s="234">
        <v>0</v>
      </c>
      <c r="T120" s="234">
        <v>0</v>
      </c>
      <c r="U120" s="234">
        <v>0</v>
      </c>
      <c r="V120" s="234">
        <v>346491744</v>
      </c>
      <c r="W120" s="234">
        <v>180533189</v>
      </c>
      <c r="X120" s="242">
        <v>165958555</v>
      </c>
      <c r="Y120" s="234">
        <v>550794088</v>
      </c>
      <c r="Z120" s="242">
        <v>730726680</v>
      </c>
      <c r="AA120" s="242">
        <v>803975920</v>
      </c>
      <c r="AB120" s="234">
        <v>0</v>
      </c>
      <c r="AC120" s="234">
        <v>2102767</v>
      </c>
      <c r="AD120" s="234">
        <v>0</v>
      </c>
      <c r="AE120" s="234">
        <v>35908759</v>
      </c>
      <c r="AF120" s="242">
        <v>38011526</v>
      </c>
      <c r="AG120" s="234">
        <v>48950746</v>
      </c>
      <c r="AH120" s="234">
        <v>0</v>
      </c>
      <c r="AI120" s="234">
        <v>21106675</v>
      </c>
      <c r="AJ120" s="242">
        <v>70057421</v>
      </c>
      <c r="AK120" s="242">
        <v>108068947</v>
      </c>
      <c r="AL120" s="234">
        <v>686480414</v>
      </c>
      <c r="AM120" s="234">
        <v>9426559</v>
      </c>
      <c r="AN120" s="234">
        <v>0</v>
      </c>
      <c r="AO120" s="242">
        <v>695906973</v>
      </c>
      <c r="AP120" s="242">
        <v>803975920</v>
      </c>
      <c r="AQ120" s="234">
        <v>317138841</v>
      </c>
      <c r="AR120" s="234">
        <v>158972</v>
      </c>
      <c r="AS120" s="234">
        <v>14839877</v>
      </c>
      <c r="AT120" s="234">
        <v>0</v>
      </c>
      <c r="AU120" s="234">
        <v>0</v>
      </c>
      <c r="AV120" s="234">
        <v>0</v>
      </c>
      <c r="AW120" s="242">
        <v>332137690</v>
      </c>
      <c r="AX120" s="234">
        <v>37275801</v>
      </c>
      <c r="AY120" s="234">
        <v>323825</v>
      </c>
      <c r="AZ120" s="234">
        <v>0</v>
      </c>
      <c r="BA120" s="234">
        <v>8742260</v>
      </c>
      <c r="BB120" s="234">
        <v>1505203</v>
      </c>
      <c r="BC120" s="242">
        <v>47847089</v>
      </c>
      <c r="BD120" s="242">
        <v>379984779</v>
      </c>
      <c r="BE120" s="234">
        <v>226084500</v>
      </c>
      <c r="BF120" s="234">
        <v>0</v>
      </c>
      <c r="BG120" s="234">
        <v>12801105</v>
      </c>
      <c r="BH120" s="234">
        <v>0</v>
      </c>
      <c r="BI120" s="234">
        <v>3267432</v>
      </c>
      <c r="BJ120" s="234">
        <v>108948152</v>
      </c>
      <c r="BK120" s="234">
        <v>0</v>
      </c>
      <c r="BL120" s="242">
        <v>351101189</v>
      </c>
      <c r="BM120" s="242">
        <v>28883590</v>
      </c>
      <c r="BN120" s="234">
        <v>0</v>
      </c>
      <c r="BO120" s="234">
        <v>0</v>
      </c>
      <c r="BP120" s="234">
        <v>28883590</v>
      </c>
      <c r="BQ120" s="234">
        <v>28134300</v>
      </c>
      <c r="BR120" s="234">
        <v>0</v>
      </c>
      <c r="BS120" s="242">
        <v>57017890</v>
      </c>
      <c r="BT120" s="243">
        <v>-0.05</v>
      </c>
      <c r="BU120" s="243">
        <v>0.126</v>
      </c>
      <c r="BV120" s="243">
        <v>7.5999999999999998E-2</v>
      </c>
      <c r="BW120" s="244">
        <v>1.9</v>
      </c>
      <c r="BX120" s="245">
        <v>38</v>
      </c>
      <c r="BY120" s="245">
        <v>39</v>
      </c>
      <c r="BZ120" s="246">
        <f t="shared" si="6"/>
        <v>3.2563356835210708</v>
      </c>
      <c r="CA120" s="247">
        <v>0.47899999999999998</v>
      </c>
      <c r="CB120" s="247">
        <v>0.86599999999999999</v>
      </c>
      <c r="CC120" s="248">
        <v>14</v>
      </c>
      <c r="CD120" s="249">
        <v>29</v>
      </c>
      <c r="CE120" s="247">
        <f t="shared" si="7"/>
        <v>6.6560609153411443E-2</v>
      </c>
      <c r="CF120" s="242">
        <v>28883590</v>
      </c>
      <c r="CG120" s="243">
        <v>-0.05</v>
      </c>
      <c r="CH120" s="243">
        <v>0.126</v>
      </c>
      <c r="CI120" s="243">
        <v>7.5999999999999998E-2</v>
      </c>
    </row>
    <row r="121" spans="1:87" s="60" customFormat="1" ht="22.8" x14ac:dyDescent="0.3">
      <c r="A121" s="238">
        <v>129</v>
      </c>
      <c r="B121" s="238" t="s">
        <v>181</v>
      </c>
      <c r="C121" s="238" t="s">
        <v>77</v>
      </c>
      <c r="D121" s="238">
        <v>12773</v>
      </c>
      <c r="E121" s="238">
        <v>2025</v>
      </c>
      <c r="F121" s="238" t="s">
        <v>275</v>
      </c>
      <c r="G121" s="238">
        <v>5</v>
      </c>
      <c r="H121" s="238">
        <v>12</v>
      </c>
      <c r="I121" s="238" t="s">
        <v>715</v>
      </c>
      <c r="J121" s="239">
        <v>18503657</v>
      </c>
      <c r="K121" s="239">
        <v>0</v>
      </c>
      <c r="L121" s="239">
        <v>0</v>
      </c>
      <c r="M121" s="239">
        <v>25625623</v>
      </c>
      <c r="N121" s="239">
        <v>2562120</v>
      </c>
      <c r="O121" s="239">
        <v>0</v>
      </c>
      <c r="P121" s="239">
        <v>11005570</v>
      </c>
      <c r="Q121" s="242">
        <v>57696970</v>
      </c>
      <c r="R121" s="239">
        <v>6503320</v>
      </c>
      <c r="S121" s="239">
        <v>0</v>
      </c>
      <c r="T121" s="239">
        <v>0</v>
      </c>
      <c r="U121" s="239">
        <v>0</v>
      </c>
      <c r="V121" s="239">
        <v>305987555</v>
      </c>
      <c r="W121" s="239">
        <v>164758702</v>
      </c>
      <c r="X121" s="242">
        <v>141228853</v>
      </c>
      <c r="Y121" s="239">
        <v>503974850</v>
      </c>
      <c r="Z121" s="242">
        <v>651707023</v>
      </c>
      <c r="AA121" s="242">
        <v>709403993</v>
      </c>
      <c r="AB121" s="239">
        <v>0</v>
      </c>
      <c r="AC121" s="239">
        <v>2078188</v>
      </c>
      <c r="AD121" s="239">
        <v>707239</v>
      </c>
      <c r="AE121" s="239">
        <v>30177982</v>
      </c>
      <c r="AF121" s="242">
        <v>32963409</v>
      </c>
      <c r="AG121" s="239">
        <v>48950746</v>
      </c>
      <c r="AH121" s="239">
        <v>0</v>
      </c>
      <c r="AI121" s="239">
        <v>18291348</v>
      </c>
      <c r="AJ121" s="242">
        <v>67242094</v>
      </c>
      <c r="AK121" s="242">
        <v>100205503</v>
      </c>
      <c r="AL121" s="239">
        <v>609175898</v>
      </c>
      <c r="AM121" s="239">
        <v>22591</v>
      </c>
      <c r="AN121" s="239">
        <v>0</v>
      </c>
      <c r="AO121" s="242">
        <v>609198489</v>
      </c>
      <c r="AP121" s="242">
        <v>709403992</v>
      </c>
      <c r="AQ121" s="239">
        <v>252845843</v>
      </c>
      <c r="AR121" s="239">
        <v>0</v>
      </c>
      <c r="AS121" s="239">
        <v>13670437</v>
      </c>
      <c r="AT121" s="239">
        <v>0</v>
      </c>
      <c r="AU121" s="239">
        <v>0</v>
      </c>
      <c r="AV121" s="239">
        <v>0</v>
      </c>
      <c r="AW121" s="242">
        <v>266516280</v>
      </c>
      <c r="AX121" s="239">
        <v>35957596</v>
      </c>
      <c r="AY121" s="239">
        <v>0</v>
      </c>
      <c r="AZ121" s="239">
        <v>0</v>
      </c>
      <c r="BA121" s="239">
        <v>4360715</v>
      </c>
      <c r="BB121" s="239">
        <v>1505203</v>
      </c>
      <c r="BC121" s="242">
        <v>41823514</v>
      </c>
      <c r="BD121" s="242">
        <v>308339794</v>
      </c>
      <c r="BE121" s="239">
        <v>152089795</v>
      </c>
      <c r="BF121" s="239">
        <v>0</v>
      </c>
      <c r="BG121" s="239">
        <v>11217082</v>
      </c>
      <c r="BH121" s="239">
        <v>0</v>
      </c>
      <c r="BI121" s="239">
        <v>3267432</v>
      </c>
      <c r="BJ121" s="239">
        <v>96778779</v>
      </c>
      <c r="BK121" s="239">
        <v>0</v>
      </c>
      <c r="BL121" s="242">
        <v>263353088</v>
      </c>
      <c r="BM121" s="242">
        <v>44986706</v>
      </c>
      <c r="BN121" s="239">
        <v>-21440990</v>
      </c>
      <c r="BO121" s="239">
        <v>0</v>
      </c>
      <c r="BP121" s="239">
        <v>23545716</v>
      </c>
      <c r="BQ121" s="239">
        <v>28134300</v>
      </c>
      <c r="BR121" s="239">
        <v>0</v>
      </c>
      <c r="BS121" s="242">
        <v>51680016</v>
      </c>
      <c r="BT121" s="243">
        <v>0.01</v>
      </c>
      <c r="BU121" s="243">
        <v>0.13600000000000001</v>
      </c>
      <c r="BV121" s="243">
        <v>0.14599999999999999</v>
      </c>
      <c r="BW121" s="244">
        <v>1.8</v>
      </c>
      <c r="BX121" s="245">
        <v>37</v>
      </c>
      <c r="BY121" s="245">
        <v>45</v>
      </c>
      <c r="BZ121" s="246">
        <f t="shared" si="6"/>
        <v>5.0105533685142003</v>
      </c>
      <c r="CA121" s="247">
        <v>0.68600000000000005</v>
      </c>
      <c r="CB121" s="247">
        <v>0.85899999999999999</v>
      </c>
      <c r="CC121" s="248">
        <v>15</v>
      </c>
      <c r="CD121" s="249">
        <v>27</v>
      </c>
      <c r="CE121" s="247">
        <f t="shared" si="7"/>
        <v>7.4378915435613327E-2</v>
      </c>
      <c r="CF121" s="242">
        <v>44986706</v>
      </c>
      <c r="CG121" s="243">
        <v>0.01</v>
      </c>
      <c r="CH121" s="243">
        <v>0.13600000000000001</v>
      </c>
      <c r="CI121" s="243">
        <v>0.14599999999999999</v>
      </c>
    </row>
    <row r="122" spans="1:87" s="60" customFormat="1" ht="22.8" hidden="1" x14ac:dyDescent="0.3">
      <c r="A122" s="238">
        <v>11801</v>
      </c>
      <c r="B122" s="238" t="s">
        <v>102</v>
      </c>
      <c r="C122" s="238" t="s">
        <v>83</v>
      </c>
      <c r="D122" s="238">
        <v>16665</v>
      </c>
      <c r="E122" s="238">
        <v>2025</v>
      </c>
      <c r="F122" s="238" t="s">
        <v>275</v>
      </c>
      <c r="G122" s="238">
        <v>5</v>
      </c>
      <c r="H122" s="238">
        <v>12</v>
      </c>
      <c r="I122" s="238" t="s">
        <v>715</v>
      </c>
      <c r="J122" s="239">
        <v>0</v>
      </c>
      <c r="K122" s="239">
        <v>0</v>
      </c>
      <c r="L122" s="239">
        <v>0</v>
      </c>
      <c r="M122" s="239">
        <v>0</v>
      </c>
      <c r="N122" s="239">
        <v>0</v>
      </c>
      <c r="O122" s="239">
        <v>0</v>
      </c>
      <c r="P122" s="239">
        <v>0</v>
      </c>
      <c r="Q122" s="242">
        <v>0</v>
      </c>
      <c r="R122" s="239">
        <v>0</v>
      </c>
      <c r="S122" s="239">
        <v>0</v>
      </c>
      <c r="T122" s="239">
        <v>0</v>
      </c>
      <c r="U122" s="239">
        <v>0</v>
      </c>
      <c r="V122" s="239">
        <v>0</v>
      </c>
      <c r="W122" s="239">
        <v>0</v>
      </c>
      <c r="X122" s="242">
        <v>0</v>
      </c>
      <c r="Y122" s="239">
        <v>0</v>
      </c>
      <c r="Z122" s="242">
        <v>0</v>
      </c>
      <c r="AA122" s="242">
        <v>0</v>
      </c>
      <c r="AB122" s="239">
        <v>0</v>
      </c>
      <c r="AC122" s="239">
        <v>0</v>
      </c>
      <c r="AD122" s="239">
        <v>0</v>
      </c>
      <c r="AE122" s="239">
        <v>0</v>
      </c>
      <c r="AF122" s="242">
        <v>0</v>
      </c>
      <c r="AG122" s="239">
        <v>0</v>
      </c>
      <c r="AH122" s="239">
        <v>0</v>
      </c>
      <c r="AI122" s="239">
        <v>0</v>
      </c>
      <c r="AJ122" s="242">
        <v>0</v>
      </c>
      <c r="AK122" s="242">
        <v>0</v>
      </c>
      <c r="AL122" s="239">
        <v>0</v>
      </c>
      <c r="AM122" s="239">
        <v>0</v>
      </c>
      <c r="AN122" s="239">
        <v>0</v>
      </c>
      <c r="AO122" s="242">
        <v>0</v>
      </c>
      <c r="AP122" s="242">
        <v>0</v>
      </c>
      <c r="AQ122" s="239">
        <v>116457000</v>
      </c>
      <c r="AR122" s="239">
        <v>0</v>
      </c>
      <c r="AS122" s="239">
        <v>17770000</v>
      </c>
      <c r="AT122" s="239">
        <v>0</v>
      </c>
      <c r="AU122" s="239">
        <v>0</v>
      </c>
      <c r="AV122" s="239">
        <v>0</v>
      </c>
      <c r="AW122" s="242">
        <v>134227000</v>
      </c>
      <c r="AX122" s="239">
        <v>0</v>
      </c>
      <c r="AY122" s="239">
        <v>0</v>
      </c>
      <c r="AZ122" s="239">
        <v>0</v>
      </c>
      <c r="BA122" s="239">
        <v>0</v>
      </c>
      <c r="BB122" s="239">
        <v>0</v>
      </c>
      <c r="BC122" s="242">
        <v>0</v>
      </c>
      <c r="BD122" s="242">
        <v>134227000</v>
      </c>
      <c r="BE122" s="239">
        <v>145218000</v>
      </c>
      <c r="BF122" s="239">
        <v>0</v>
      </c>
      <c r="BG122" s="239">
        <v>5350000</v>
      </c>
      <c r="BH122" s="239">
        <v>0</v>
      </c>
      <c r="BI122" s="239">
        <v>0</v>
      </c>
      <c r="BJ122" s="239">
        <v>38301000</v>
      </c>
      <c r="BK122" s="239">
        <v>0</v>
      </c>
      <c r="BL122" s="242">
        <v>188869000</v>
      </c>
      <c r="BM122" s="242">
        <v>-54642000</v>
      </c>
      <c r="BN122" s="239">
        <v>54640000</v>
      </c>
      <c r="BO122" s="239">
        <v>0</v>
      </c>
      <c r="BP122" s="239">
        <v>-2000</v>
      </c>
      <c r="BQ122" s="239">
        <v>0</v>
      </c>
      <c r="BR122" s="239">
        <v>0</v>
      </c>
      <c r="BS122" s="242">
        <v>-2000</v>
      </c>
      <c r="BT122" s="243">
        <v>-0.40699999999999997</v>
      </c>
      <c r="BU122" s="243">
        <v>0</v>
      </c>
      <c r="BV122" s="243">
        <v>-0.40699999999999997</v>
      </c>
      <c r="BW122" s="244">
        <v>0</v>
      </c>
      <c r="BX122" s="245">
        <v>0</v>
      </c>
      <c r="BY122" s="245">
        <v>0</v>
      </c>
      <c r="BZ122" s="246">
        <f t="shared" si="6"/>
        <v>-9.2134579439252331</v>
      </c>
      <c r="CA122" s="247">
        <v>0</v>
      </c>
      <c r="CB122" s="247">
        <v>0</v>
      </c>
      <c r="CC122" s="248">
        <v>0</v>
      </c>
      <c r="CD122" s="249">
        <v>0</v>
      </c>
      <c r="CE122" s="247" t="e">
        <f t="shared" si="7"/>
        <v>#DIV/0!</v>
      </c>
      <c r="CF122" s="242">
        <v>-54642000</v>
      </c>
      <c r="CG122" s="243">
        <v>-0.40699999999999997</v>
      </c>
      <c r="CH122" s="243">
        <v>0</v>
      </c>
      <c r="CI122" s="243">
        <v>-0.40699999999999997</v>
      </c>
    </row>
    <row r="123" spans="1:87" s="60" customFormat="1" ht="22.8" hidden="1" x14ac:dyDescent="0.3">
      <c r="A123" s="238">
        <v>14288</v>
      </c>
      <c r="B123" s="238" t="s">
        <v>183</v>
      </c>
      <c r="C123" s="238" t="s">
        <v>75</v>
      </c>
      <c r="D123" s="238">
        <v>14288</v>
      </c>
      <c r="E123" s="238">
        <v>2025</v>
      </c>
      <c r="F123" s="238" t="s">
        <v>276</v>
      </c>
      <c r="G123" s="238">
        <v>5</v>
      </c>
      <c r="H123" s="238">
        <v>12</v>
      </c>
      <c r="I123" s="238" t="s">
        <v>716</v>
      </c>
      <c r="J123" s="239">
        <v>569895370</v>
      </c>
      <c r="K123" s="239">
        <v>6213750569</v>
      </c>
      <c r="L123" s="239">
        <v>398734737</v>
      </c>
      <c r="M123" s="239">
        <v>2809647615</v>
      </c>
      <c r="N123" s="239">
        <v>0</v>
      </c>
      <c r="O123" s="239">
        <v>414188749</v>
      </c>
      <c r="P123" s="239">
        <v>2109828213</v>
      </c>
      <c r="Q123" s="242">
        <v>12516045253</v>
      </c>
      <c r="R123" s="239">
        <v>10609021146</v>
      </c>
      <c r="S123" s="239">
        <v>19855784</v>
      </c>
      <c r="T123" s="239">
        <v>0</v>
      </c>
      <c r="U123" s="239">
        <v>493154368</v>
      </c>
      <c r="V123" s="239">
        <v>20827853412</v>
      </c>
      <c r="W123" s="239">
        <v>11788180256</v>
      </c>
      <c r="X123" s="242">
        <v>9039673156</v>
      </c>
      <c r="Y123" s="239">
        <v>2070336738</v>
      </c>
      <c r="Z123" s="242">
        <v>22232041192</v>
      </c>
      <c r="AA123" s="242">
        <v>34748086445</v>
      </c>
      <c r="AB123" s="239">
        <v>1024396445</v>
      </c>
      <c r="AC123" s="239">
        <v>255224559</v>
      </c>
      <c r="AD123" s="239">
        <v>0</v>
      </c>
      <c r="AE123" s="239">
        <v>4070302030</v>
      </c>
      <c r="AF123" s="242">
        <v>5349923034</v>
      </c>
      <c r="AG123" s="239">
        <v>6368950888</v>
      </c>
      <c r="AH123" s="239">
        <v>0</v>
      </c>
      <c r="AI123" s="239">
        <v>2653001508</v>
      </c>
      <c r="AJ123" s="242">
        <v>9021952396</v>
      </c>
      <c r="AK123" s="242">
        <v>14371875430</v>
      </c>
      <c r="AL123" s="239">
        <v>19675911943</v>
      </c>
      <c r="AM123" s="239">
        <v>436498862</v>
      </c>
      <c r="AN123" s="239">
        <v>263800210</v>
      </c>
      <c r="AO123" s="242">
        <v>20376211015</v>
      </c>
      <c r="AP123" s="242">
        <v>34748086445</v>
      </c>
      <c r="AQ123" s="239">
        <v>21635098111</v>
      </c>
      <c r="AR123" s="239">
        <v>60105839</v>
      </c>
      <c r="AS123" s="239">
        <v>3664899117</v>
      </c>
      <c r="AT123" s="239">
        <v>28755919</v>
      </c>
      <c r="AU123" s="239">
        <v>82500</v>
      </c>
      <c r="AV123" s="239">
        <v>32736726</v>
      </c>
      <c r="AW123" s="242">
        <v>25421678212</v>
      </c>
      <c r="AX123" s="239">
        <v>576283380</v>
      </c>
      <c r="AY123" s="239">
        <v>0</v>
      </c>
      <c r="AZ123" s="239">
        <v>898771880</v>
      </c>
      <c r="BA123" s="239">
        <v>-176771457</v>
      </c>
      <c r="BB123" s="239">
        <v>0</v>
      </c>
      <c r="BC123" s="242">
        <v>1298283803</v>
      </c>
      <c r="BD123" s="242">
        <v>26719962015</v>
      </c>
      <c r="BE123" s="239">
        <v>13597976164</v>
      </c>
      <c r="BF123" s="239">
        <v>1068632715</v>
      </c>
      <c r="BG123" s="239">
        <v>887931303</v>
      </c>
      <c r="BH123" s="239">
        <v>259304895</v>
      </c>
      <c r="BI123" s="239">
        <v>12545422</v>
      </c>
      <c r="BJ123" s="239">
        <v>9398280907</v>
      </c>
      <c r="BK123" s="239">
        <v>209256198</v>
      </c>
      <c r="BL123" s="242">
        <v>25433927604</v>
      </c>
      <c r="BM123" s="242">
        <v>1286034411</v>
      </c>
      <c r="BN123" s="239">
        <v>0</v>
      </c>
      <c r="BO123" s="239">
        <v>43260092</v>
      </c>
      <c r="BP123" s="239">
        <v>1329294503</v>
      </c>
      <c r="BQ123" s="239">
        <v>115456025</v>
      </c>
      <c r="BR123" s="239">
        <v>0</v>
      </c>
      <c r="BS123" s="242">
        <v>1444750528</v>
      </c>
      <c r="BT123" s="243">
        <v>0</v>
      </c>
      <c r="BU123" s="243">
        <v>4.9000000000000002E-2</v>
      </c>
      <c r="BV123" s="243">
        <v>4.8000000000000001E-2</v>
      </c>
      <c r="BW123" s="244">
        <v>2.2999999999999998</v>
      </c>
      <c r="BX123" s="245">
        <v>47</v>
      </c>
      <c r="BY123" s="245">
        <v>76</v>
      </c>
      <c r="BZ123" s="246">
        <f t="shared" si="6"/>
        <v>0.80242454809582153</v>
      </c>
      <c r="CA123" s="247">
        <v>0.186</v>
      </c>
      <c r="CB123" s="247">
        <v>0.58599999999999997</v>
      </c>
      <c r="CC123" s="248">
        <v>13</v>
      </c>
      <c r="CD123" s="249">
        <v>101</v>
      </c>
      <c r="CE123" s="247">
        <f t="shared" si="7"/>
        <v>0.24453770132432148</v>
      </c>
      <c r="CF123" s="242">
        <v>1257195992</v>
      </c>
      <c r="CG123" s="243">
        <v>-2E-3</v>
      </c>
      <c r="CH123" s="243">
        <v>4.9000000000000002E-2</v>
      </c>
      <c r="CI123" s="243">
        <v>4.7E-2</v>
      </c>
    </row>
    <row r="124" spans="1:87" s="60" customFormat="1" ht="22.8" x14ac:dyDescent="0.3">
      <c r="A124" s="233">
        <v>104</v>
      </c>
      <c r="B124" s="233" t="s">
        <v>193</v>
      </c>
      <c r="C124" s="233" t="s">
        <v>77</v>
      </c>
      <c r="D124" s="233">
        <v>12775</v>
      </c>
      <c r="E124" s="233">
        <v>2025</v>
      </c>
      <c r="F124" s="233" t="s">
        <v>275</v>
      </c>
      <c r="G124" s="233">
        <v>5</v>
      </c>
      <c r="H124" s="233">
        <v>12</v>
      </c>
      <c r="I124" s="233" t="s">
        <v>715</v>
      </c>
      <c r="J124" s="234">
        <v>32762000</v>
      </c>
      <c r="K124" s="234">
        <v>0</v>
      </c>
      <c r="L124" s="234">
        <v>21349000</v>
      </c>
      <c r="M124" s="234">
        <v>167040000</v>
      </c>
      <c r="N124" s="234">
        <v>10220000</v>
      </c>
      <c r="O124" s="234">
        <v>26833000</v>
      </c>
      <c r="P124" s="234">
        <v>73901000</v>
      </c>
      <c r="Q124" s="242">
        <v>332105000</v>
      </c>
      <c r="R124" s="234">
        <v>22279000</v>
      </c>
      <c r="S124" s="234">
        <v>0</v>
      </c>
      <c r="T124" s="234">
        <v>0</v>
      </c>
      <c r="U124" s="234">
        <v>803000</v>
      </c>
      <c r="V124" s="234">
        <v>885336000</v>
      </c>
      <c r="W124" s="234">
        <v>564922000</v>
      </c>
      <c r="X124" s="242">
        <v>320414000</v>
      </c>
      <c r="Y124" s="234">
        <v>199885000</v>
      </c>
      <c r="Z124" s="242">
        <v>543381000</v>
      </c>
      <c r="AA124" s="242">
        <v>875486000</v>
      </c>
      <c r="AB124" s="234">
        <v>19250000</v>
      </c>
      <c r="AC124" s="234">
        <v>1596000</v>
      </c>
      <c r="AD124" s="234">
        <v>0</v>
      </c>
      <c r="AE124" s="234">
        <v>142422000</v>
      </c>
      <c r="AF124" s="242">
        <v>163268000</v>
      </c>
      <c r="AG124" s="234">
        <v>800123000</v>
      </c>
      <c r="AH124" s="234">
        <v>0</v>
      </c>
      <c r="AI124" s="234">
        <v>52381000</v>
      </c>
      <c r="AJ124" s="242">
        <v>852504000</v>
      </c>
      <c r="AK124" s="242">
        <v>1015772000</v>
      </c>
      <c r="AL124" s="234">
        <v>-156949000</v>
      </c>
      <c r="AM124" s="234">
        <v>8994000</v>
      </c>
      <c r="AN124" s="234">
        <v>7669000</v>
      </c>
      <c r="AO124" s="242">
        <v>-140286000</v>
      </c>
      <c r="AP124" s="242">
        <v>875486000</v>
      </c>
      <c r="AQ124" s="234">
        <v>1174478000</v>
      </c>
      <c r="AR124" s="234">
        <v>0</v>
      </c>
      <c r="AS124" s="234">
        <v>351703000</v>
      </c>
      <c r="AT124" s="234">
        <v>0</v>
      </c>
      <c r="AU124" s="234">
        <v>0</v>
      </c>
      <c r="AV124" s="234">
        <v>3077000</v>
      </c>
      <c r="AW124" s="242">
        <v>1529258000</v>
      </c>
      <c r="AX124" s="234">
        <v>8911000</v>
      </c>
      <c r="AY124" s="234">
        <v>-4753000</v>
      </c>
      <c r="AZ124" s="234">
        <v>-365000</v>
      </c>
      <c r="BA124" s="234">
        <v>-1847000</v>
      </c>
      <c r="BB124" s="234">
        <v>0</v>
      </c>
      <c r="BC124" s="242">
        <v>1946000</v>
      </c>
      <c r="BD124" s="242">
        <v>1531204000</v>
      </c>
      <c r="BE124" s="234">
        <v>585637000</v>
      </c>
      <c r="BF124" s="234">
        <v>0</v>
      </c>
      <c r="BG124" s="234">
        <v>39519000</v>
      </c>
      <c r="BH124" s="234">
        <v>26742000</v>
      </c>
      <c r="BI124" s="234">
        <v>111367000</v>
      </c>
      <c r="BJ124" s="234">
        <v>710034000</v>
      </c>
      <c r="BK124" s="234">
        <v>0</v>
      </c>
      <c r="BL124" s="242">
        <v>1473299000</v>
      </c>
      <c r="BM124" s="242">
        <v>57905000</v>
      </c>
      <c r="BN124" s="234">
        <v>21258000</v>
      </c>
      <c r="BO124" s="234">
        <v>19000</v>
      </c>
      <c r="BP124" s="234">
        <v>79182000</v>
      </c>
      <c r="BQ124" s="234">
        <v>2206000</v>
      </c>
      <c r="BR124" s="234">
        <v>0</v>
      </c>
      <c r="BS124" s="242">
        <v>81388000</v>
      </c>
      <c r="BT124" s="243">
        <v>3.6999999999999998E-2</v>
      </c>
      <c r="BU124" s="243">
        <v>1E-3</v>
      </c>
      <c r="BV124" s="243">
        <v>3.7999999999999999E-2</v>
      </c>
      <c r="BW124" s="244">
        <v>2</v>
      </c>
      <c r="BX124" s="245">
        <v>52</v>
      </c>
      <c r="BY124" s="245">
        <v>41</v>
      </c>
      <c r="BZ124" s="246">
        <f t="shared" si="6"/>
        <v>2.1189913049396791</v>
      </c>
      <c r="CA124" s="247">
        <v>0.10100000000000001</v>
      </c>
      <c r="CB124" s="247">
        <v>-0.16</v>
      </c>
      <c r="CC124" s="248">
        <v>14</v>
      </c>
      <c r="CD124" s="249">
        <v>8</v>
      </c>
      <c r="CE124" s="247">
        <f t="shared" si="7"/>
        <v>1.2440226128543754</v>
      </c>
      <c r="CF124" s="242">
        <v>57905000</v>
      </c>
      <c r="CG124" s="243">
        <v>3.6999999999999998E-2</v>
      </c>
      <c r="CH124" s="243">
        <v>1E-3</v>
      </c>
      <c r="CI124" s="243">
        <v>3.7999999999999999E-2</v>
      </c>
    </row>
    <row r="125" spans="1:87" s="60" customFormat="1" ht="22.8" hidden="1" x14ac:dyDescent="0.3">
      <c r="A125" s="233">
        <v>10991</v>
      </c>
      <c r="B125" s="233" t="s">
        <v>196</v>
      </c>
      <c r="C125" s="233" t="s">
        <v>83</v>
      </c>
      <c r="D125" s="233">
        <v>12775</v>
      </c>
      <c r="E125" s="233">
        <v>2025</v>
      </c>
      <c r="F125" s="233" t="s">
        <v>275</v>
      </c>
      <c r="G125" s="233">
        <v>5</v>
      </c>
      <c r="H125" s="233">
        <v>12</v>
      </c>
      <c r="I125" s="233" t="s">
        <v>715</v>
      </c>
      <c r="J125" s="234">
        <v>0</v>
      </c>
      <c r="K125" s="234">
        <v>0</v>
      </c>
      <c r="L125" s="234">
        <v>0</v>
      </c>
      <c r="M125" s="234">
        <v>0</v>
      </c>
      <c r="N125" s="234">
        <v>0</v>
      </c>
      <c r="O125" s="234">
        <v>0</v>
      </c>
      <c r="P125" s="234">
        <v>0</v>
      </c>
      <c r="Q125" s="242">
        <v>0</v>
      </c>
      <c r="R125" s="234">
        <v>0</v>
      </c>
      <c r="S125" s="234">
        <v>0</v>
      </c>
      <c r="T125" s="234">
        <v>0</v>
      </c>
      <c r="U125" s="234">
        <v>0</v>
      </c>
      <c r="V125" s="234">
        <v>0</v>
      </c>
      <c r="W125" s="234">
        <v>0</v>
      </c>
      <c r="X125" s="242">
        <v>0</v>
      </c>
      <c r="Y125" s="234">
        <v>0</v>
      </c>
      <c r="Z125" s="242">
        <v>0</v>
      </c>
      <c r="AA125" s="242">
        <v>0</v>
      </c>
      <c r="AB125" s="234">
        <v>0</v>
      </c>
      <c r="AC125" s="234">
        <v>0</v>
      </c>
      <c r="AD125" s="234">
        <v>0</v>
      </c>
      <c r="AE125" s="234">
        <v>0</v>
      </c>
      <c r="AF125" s="242">
        <v>0</v>
      </c>
      <c r="AG125" s="234">
        <v>0</v>
      </c>
      <c r="AH125" s="234">
        <v>0</v>
      </c>
      <c r="AI125" s="234">
        <v>0</v>
      </c>
      <c r="AJ125" s="242">
        <v>0</v>
      </c>
      <c r="AK125" s="242">
        <v>0</v>
      </c>
      <c r="AL125" s="234">
        <v>0</v>
      </c>
      <c r="AM125" s="234">
        <v>0</v>
      </c>
      <c r="AN125" s="234">
        <v>0</v>
      </c>
      <c r="AO125" s="242">
        <v>0</v>
      </c>
      <c r="AP125" s="242">
        <v>0</v>
      </c>
      <c r="AQ125" s="234">
        <v>229049000</v>
      </c>
      <c r="AR125" s="234">
        <v>0</v>
      </c>
      <c r="AS125" s="234">
        <v>147118000</v>
      </c>
      <c r="AT125" s="234">
        <v>0</v>
      </c>
      <c r="AU125" s="234">
        <v>0</v>
      </c>
      <c r="AV125" s="234">
        <v>0</v>
      </c>
      <c r="AW125" s="242">
        <v>376167000</v>
      </c>
      <c r="AX125" s="234">
        <v>0</v>
      </c>
      <c r="AY125" s="234">
        <v>0</v>
      </c>
      <c r="AZ125" s="234">
        <v>0</v>
      </c>
      <c r="BA125" s="234">
        <v>0</v>
      </c>
      <c r="BB125" s="234">
        <v>0</v>
      </c>
      <c r="BC125" s="242">
        <v>0</v>
      </c>
      <c r="BD125" s="242">
        <v>376167000</v>
      </c>
      <c r="BE125" s="234">
        <v>363083000</v>
      </c>
      <c r="BF125" s="234">
        <v>0</v>
      </c>
      <c r="BG125" s="234">
        <v>566000</v>
      </c>
      <c r="BH125" s="234">
        <v>0</v>
      </c>
      <c r="BI125" s="234">
        <v>0</v>
      </c>
      <c r="BJ125" s="234">
        <v>95705000</v>
      </c>
      <c r="BK125" s="234">
        <v>0</v>
      </c>
      <c r="BL125" s="242">
        <v>459354000</v>
      </c>
      <c r="BM125" s="242">
        <v>-83187000</v>
      </c>
      <c r="BN125" s="234">
        <v>77062000</v>
      </c>
      <c r="BO125" s="234">
        <v>0</v>
      </c>
      <c r="BP125" s="234">
        <v>-6125000</v>
      </c>
      <c r="BQ125" s="234">
        <v>0</v>
      </c>
      <c r="BR125" s="234">
        <v>0</v>
      </c>
      <c r="BS125" s="242">
        <v>-6125000</v>
      </c>
      <c r="BT125" s="243">
        <v>-0.221</v>
      </c>
      <c r="BU125" s="243">
        <v>0</v>
      </c>
      <c r="BV125" s="243">
        <v>-0.221</v>
      </c>
      <c r="BW125" s="244">
        <v>0</v>
      </c>
      <c r="BX125" s="245">
        <v>0</v>
      </c>
      <c r="BY125" s="245">
        <v>0</v>
      </c>
      <c r="BZ125" s="246">
        <f t="shared" si="6"/>
        <v>-145.97349823321554</v>
      </c>
      <c r="CA125" s="247">
        <v>0</v>
      </c>
      <c r="CB125" s="247">
        <v>0</v>
      </c>
      <c r="CC125" s="248">
        <v>0</v>
      </c>
      <c r="CD125" s="249">
        <v>0</v>
      </c>
      <c r="CE125" s="247" t="e">
        <f t="shared" si="7"/>
        <v>#DIV/0!</v>
      </c>
      <c r="CF125" s="242">
        <v>-83187000</v>
      </c>
      <c r="CG125" s="243">
        <v>-0.221</v>
      </c>
      <c r="CH125" s="243">
        <v>0</v>
      </c>
      <c r="CI125" s="243">
        <v>-0.221</v>
      </c>
    </row>
    <row r="126" spans="1:87" s="60" customFormat="1" ht="22.8" hidden="1" x14ac:dyDescent="0.3">
      <c r="A126" s="238">
        <v>12775</v>
      </c>
      <c r="B126" s="238" t="s">
        <v>190</v>
      </c>
      <c r="C126" s="238" t="s">
        <v>75</v>
      </c>
      <c r="D126" s="238">
        <v>12775</v>
      </c>
      <c r="E126" s="238">
        <v>2025</v>
      </c>
      <c r="F126" s="238" t="s">
        <v>275</v>
      </c>
      <c r="G126" s="238">
        <v>5</v>
      </c>
      <c r="H126" s="238">
        <v>12</v>
      </c>
      <c r="I126" s="238" t="s">
        <v>715</v>
      </c>
      <c r="J126" s="239">
        <v>65376000</v>
      </c>
      <c r="K126" s="239">
        <v>62041000</v>
      </c>
      <c r="L126" s="239">
        <v>39213000</v>
      </c>
      <c r="M126" s="239">
        <v>316861000</v>
      </c>
      <c r="N126" s="239">
        <v>0</v>
      </c>
      <c r="O126" s="239">
        <v>49656000</v>
      </c>
      <c r="P126" s="239">
        <v>208579000</v>
      </c>
      <c r="Q126" s="242">
        <v>741726000</v>
      </c>
      <c r="R126" s="239">
        <v>154180000</v>
      </c>
      <c r="S126" s="239">
        <v>0</v>
      </c>
      <c r="T126" s="239">
        <v>0</v>
      </c>
      <c r="U126" s="239">
        <v>42834000</v>
      </c>
      <c r="V126" s="239">
        <v>2179511000</v>
      </c>
      <c r="W126" s="239">
        <v>1488236000</v>
      </c>
      <c r="X126" s="242">
        <v>691275000</v>
      </c>
      <c r="Y126" s="239">
        <v>381752000</v>
      </c>
      <c r="Z126" s="242">
        <v>1270041000</v>
      </c>
      <c r="AA126" s="242">
        <v>2011767000</v>
      </c>
      <c r="AB126" s="239">
        <v>41425000</v>
      </c>
      <c r="AC126" s="239">
        <v>11028000</v>
      </c>
      <c r="AD126" s="239">
        <v>0</v>
      </c>
      <c r="AE126" s="239">
        <v>648367000</v>
      </c>
      <c r="AF126" s="242">
        <v>700820000</v>
      </c>
      <c r="AG126" s="239">
        <v>900068000</v>
      </c>
      <c r="AH126" s="239">
        <v>0</v>
      </c>
      <c r="AI126" s="239">
        <v>220489000</v>
      </c>
      <c r="AJ126" s="242">
        <v>1120557000</v>
      </c>
      <c r="AK126" s="242">
        <v>1821377000</v>
      </c>
      <c r="AL126" s="239">
        <v>140134000</v>
      </c>
      <c r="AM126" s="239">
        <v>19430000</v>
      </c>
      <c r="AN126" s="239">
        <v>30826000</v>
      </c>
      <c r="AO126" s="242">
        <v>190390000</v>
      </c>
      <c r="AP126" s="242">
        <v>2011767000</v>
      </c>
      <c r="AQ126" s="239">
        <v>2511800000</v>
      </c>
      <c r="AR126" s="239">
        <v>0</v>
      </c>
      <c r="AS126" s="239">
        <v>619327000</v>
      </c>
      <c r="AT126" s="239">
        <v>0</v>
      </c>
      <c r="AU126" s="239">
        <v>0</v>
      </c>
      <c r="AV126" s="239">
        <v>5626000</v>
      </c>
      <c r="AW126" s="242">
        <v>3136753000</v>
      </c>
      <c r="AX126" s="239">
        <v>17167000</v>
      </c>
      <c r="AY126" s="239">
        <v>-4534000</v>
      </c>
      <c r="AZ126" s="239">
        <v>-1671000</v>
      </c>
      <c r="BA126" s="239">
        <v>-2980000</v>
      </c>
      <c r="BB126" s="239">
        <v>-1000000</v>
      </c>
      <c r="BC126" s="242">
        <v>6982000</v>
      </c>
      <c r="BD126" s="242">
        <v>3143735000</v>
      </c>
      <c r="BE126" s="239">
        <v>1632871000</v>
      </c>
      <c r="BF126" s="239">
        <v>0</v>
      </c>
      <c r="BG126" s="239">
        <v>82345000</v>
      </c>
      <c r="BH126" s="239">
        <v>47026000</v>
      </c>
      <c r="BI126" s="239">
        <v>169419000</v>
      </c>
      <c r="BJ126" s="239">
        <v>1263644000</v>
      </c>
      <c r="BK126" s="239">
        <v>0</v>
      </c>
      <c r="BL126" s="242">
        <v>3195305000</v>
      </c>
      <c r="BM126" s="242">
        <v>-51570000</v>
      </c>
      <c r="BN126" s="239">
        <v>0</v>
      </c>
      <c r="BO126" s="239">
        <v>776000</v>
      </c>
      <c r="BP126" s="239">
        <v>-50794000</v>
      </c>
      <c r="BQ126" s="239">
        <v>3764000</v>
      </c>
      <c r="BR126" s="239">
        <v>0</v>
      </c>
      <c r="BS126" s="242">
        <v>-47030000</v>
      </c>
      <c r="BT126" s="243">
        <v>-1.9E-2</v>
      </c>
      <c r="BU126" s="243">
        <v>2E-3</v>
      </c>
      <c r="BV126" s="243">
        <v>-1.6E-2</v>
      </c>
      <c r="BW126" s="244">
        <v>1.1000000000000001</v>
      </c>
      <c r="BX126" s="245">
        <v>46</v>
      </c>
      <c r="BY126" s="245">
        <v>81</v>
      </c>
      <c r="BZ126" s="246">
        <f t="shared" si="6"/>
        <v>0.64209420699684905</v>
      </c>
      <c r="CA126" s="247">
        <v>1.9E-2</v>
      </c>
      <c r="CB126" s="247">
        <v>9.5000000000000001E-2</v>
      </c>
      <c r="CC126" s="248">
        <v>18</v>
      </c>
      <c r="CD126" s="249">
        <v>15</v>
      </c>
      <c r="CE126" s="247">
        <f t="shared" si="7"/>
        <v>0.86528193562404221</v>
      </c>
      <c r="CF126" s="242">
        <v>-51570000</v>
      </c>
      <c r="CG126" s="243">
        <v>-1.9E-2</v>
      </c>
      <c r="CH126" s="243">
        <v>2E-3</v>
      </c>
      <c r="CI126" s="243">
        <v>-1.6E-2</v>
      </c>
    </row>
    <row r="127" spans="1:87" s="60" customFormat="1" ht="22.8" hidden="1" x14ac:dyDescent="0.3">
      <c r="A127" s="233">
        <v>6755</v>
      </c>
      <c r="B127" s="233" t="s">
        <v>197</v>
      </c>
      <c r="C127" s="233" t="s">
        <v>75</v>
      </c>
      <c r="D127" s="233">
        <v>6755</v>
      </c>
      <c r="E127" s="233">
        <v>2025</v>
      </c>
      <c r="F127" s="233" t="s">
        <v>275</v>
      </c>
      <c r="G127" s="233">
        <v>5</v>
      </c>
      <c r="H127" s="233">
        <v>12</v>
      </c>
      <c r="I127" s="233" t="s">
        <v>715</v>
      </c>
      <c r="J127" s="234">
        <v>200113000</v>
      </c>
      <c r="K127" s="234">
        <v>317576000</v>
      </c>
      <c r="L127" s="234">
        <v>6740000</v>
      </c>
      <c r="M127" s="234">
        <v>447356000</v>
      </c>
      <c r="N127" s="234">
        <v>0</v>
      </c>
      <c r="O127" s="234">
        <v>40384000</v>
      </c>
      <c r="P127" s="234">
        <v>174324000</v>
      </c>
      <c r="Q127" s="242">
        <v>1186493000</v>
      </c>
      <c r="R127" s="234">
        <v>399361000</v>
      </c>
      <c r="S127" s="234">
        <v>0</v>
      </c>
      <c r="T127" s="234">
        <v>0</v>
      </c>
      <c r="U127" s="234">
        <v>0</v>
      </c>
      <c r="V127" s="234">
        <v>2792464000</v>
      </c>
      <c r="W127" s="234">
        <v>1592853000</v>
      </c>
      <c r="X127" s="242">
        <v>1199611000</v>
      </c>
      <c r="Y127" s="234">
        <v>1304011000</v>
      </c>
      <c r="Z127" s="242">
        <v>2902983000</v>
      </c>
      <c r="AA127" s="242">
        <v>4089476000</v>
      </c>
      <c r="AB127" s="234">
        <v>38591000</v>
      </c>
      <c r="AC127" s="234">
        <v>23928000</v>
      </c>
      <c r="AD127" s="234">
        <v>0</v>
      </c>
      <c r="AE127" s="234">
        <v>705765000</v>
      </c>
      <c r="AF127" s="242">
        <v>768284000</v>
      </c>
      <c r="AG127" s="234">
        <v>996863000</v>
      </c>
      <c r="AH127" s="234">
        <v>0</v>
      </c>
      <c r="AI127" s="234">
        <v>447621000</v>
      </c>
      <c r="AJ127" s="242">
        <v>1444484000</v>
      </c>
      <c r="AK127" s="242">
        <v>2212768000</v>
      </c>
      <c r="AL127" s="234">
        <v>1734014000</v>
      </c>
      <c r="AM127" s="234">
        <v>77779000</v>
      </c>
      <c r="AN127" s="234">
        <v>64917000</v>
      </c>
      <c r="AO127" s="242">
        <v>1876710000</v>
      </c>
      <c r="AP127" s="242">
        <v>4089478000</v>
      </c>
      <c r="AQ127" s="234">
        <v>4372878000</v>
      </c>
      <c r="AR127" s="234">
        <v>0</v>
      </c>
      <c r="AS127" s="234">
        <v>332515000</v>
      </c>
      <c r="AT127" s="234">
        <v>0</v>
      </c>
      <c r="AU127" s="234">
        <v>0</v>
      </c>
      <c r="AV127" s="234">
        <v>6838000</v>
      </c>
      <c r="AW127" s="242">
        <v>4712231000</v>
      </c>
      <c r="AX127" s="234">
        <v>67119000</v>
      </c>
      <c r="AY127" s="234">
        <v>67687000</v>
      </c>
      <c r="AZ127" s="234">
        <v>0</v>
      </c>
      <c r="BA127" s="234">
        <v>65284000</v>
      </c>
      <c r="BB127" s="234">
        <v>0</v>
      </c>
      <c r="BC127" s="242">
        <v>200090000</v>
      </c>
      <c r="BD127" s="242">
        <v>4912321000</v>
      </c>
      <c r="BE127" s="234">
        <v>2674051000</v>
      </c>
      <c r="BF127" s="234">
        <v>0</v>
      </c>
      <c r="BG127" s="234">
        <v>163995000</v>
      </c>
      <c r="BH127" s="234">
        <v>41709000</v>
      </c>
      <c r="BI127" s="234">
        <v>73725000</v>
      </c>
      <c r="BJ127" s="234">
        <v>1981598000</v>
      </c>
      <c r="BK127" s="234">
        <v>0</v>
      </c>
      <c r="BL127" s="242">
        <v>4935078000</v>
      </c>
      <c r="BM127" s="242">
        <v>-22757000</v>
      </c>
      <c r="BN127" s="234">
        <v>0</v>
      </c>
      <c r="BO127" s="234">
        <v>9602000</v>
      </c>
      <c r="BP127" s="234">
        <v>-13155000</v>
      </c>
      <c r="BQ127" s="234">
        <v>137956000</v>
      </c>
      <c r="BR127" s="234">
        <v>0</v>
      </c>
      <c r="BS127" s="242">
        <v>124801000</v>
      </c>
      <c r="BT127" s="243">
        <v>-4.4999999999999998E-2</v>
      </c>
      <c r="BU127" s="243">
        <v>4.1000000000000002E-2</v>
      </c>
      <c r="BV127" s="243">
        <v>-5.0000000000000001E-3</v>
      </c>
      <c r="BW127" s="244">
        <v>1.5</v>
      </c>
      <c r="BX127" s="245">
        <v>37</v>
      </c>
      <c r="BY127" s="245">
        <v>57</v>
      </c>
      <c r="BZ127" s="246">
        <f t="shared" si="6"/>
        <v>0.90305845418735742</v>
      </c>
      <c r="CA127" s="247">
        <v>0.08</v>
      </c>
      <c r="CB127" s="247">
        <v>0.45900000000000002</v>
      </c>
      <c r="CC127" s="248">
        <v>10</v>
      </c>
      <c r="CD127" s="249">
        <v>40</v>
      </c>
      <c r="CE127" s="247">
        <f t="shared" si="7"/>
        <v>0.36503401654486817</v>
      </c>
      <c r="CF127" s="242">
        <v>-22757000</v>
      </c>
      <c r="CG127" s="243">
        <v>-4.4999999999999998E-2</v>
      </c>
      <c r="CH127" s="243">
        <v>4.1000000000000002E-2</v>
      </c>
      <c r="CI127" s="243">
        <v>-5.0000000000000001E-3</v>
      </c>
    </row>
    <row r="128" spans="1:87" s="60" customFormat="1" ht="22.8" x14ac:dyDescent="0.3">
      <c r="A128" s="238">
        <v>3115</v>
      </c>
      <c r="B128" s="238" t="s">
        <v>201</v>
      </c>
      <c r="C128" s="238" t="s">
        <v>77</v>
      </c>
      <c r="D128" s="238">
        <v>6755</v>
      </c>
      <c r="E128" s="238">
        <v>2025</v>
      </c>
      <c r="F128" s="238" t="s">
        <v>275</v>
      </c>
      <c r="G128" s="238">
        <v>5</v>
      </c>
      <c r="H128" s="238">
        <v>12</v>
      </c>
      <c r="I128" s="238" t="s">
        <v>715</v>
      </c>
      <c r="J128" s="239">
        <v>25940000</v>
      </c>
      <c r="K128" s="239">
        <v>0</v>
      </c>
      <c r="L128" s="239">
        <v>0</v>
      </c>
      <c r="M128" s="239">
        <v>290390000</v>
      </c>
      <c r="N128" s="239">
        <v>4197949000</v>
      </c>
      <c r="O128" s="239">
        <v>16423000</v>
      </c>
      <c r="P128" s="239">
        <v>86141000</v>
      </c>
      <c r="Q128" s="242">
        <v>4616843000</v>
      </c>
      <c r="R128" s="239">
        <v>0</v>
      </c>
      <c r="S128" s="239">
        <v>0</v>
      </c>
      <c r="T128" s="239">
        <v>0</v>
      </c>
      <c r="U128" s="239">
        <v>0</v>
      </c>
      <c r="V128" s="239">
        <v>1230001000</v>
      </c>
      <c r="W128" s="239">
        <v>778132000</v>
      </c>
      <c r="X128" s="242">
        <v>451869000</v>
      </c>
      <c r="Y128" s="239">
        <v>283945000</v>
      </c>
      <c r="Z128" s="242">
        <v>735814000</v>
      </c>
      <c r="AA128" s="242">
        <v>5352657000</v>
      </c>
      <c r="AB128" s="239">
        <v>0</v>
      </c>
      <c r="AC128" s="239">
        <v>5319000</v>
      </c>
      <c r="AD128" s="239">
        <v>4564128000</v>
      </c>
      <c r="AE128" s="239">
        <v>243269000</v>
      </c>
      <c r="AF128" s="242">
        <v>4812716000</v>
      </c>
      <c r="AG128" s="239">
        <v>0</v>
      </c>
      <c r="AH128" s="239">
        <v>259662000</v>
      </c>
      <c r="AI128" s="239">
        <v>53482000</v>
      </c>
      <c r="AJ128" s="242">
        <v>313144000</v>
      </c>
      <c r="AK128" s="242">
        <v>5125860000</v>
      </c>
      <c r="AL128" s="239">
        <v>136915000</v>
      </c>
      <c r="AM128" s="239">
        <v>61169000</v>
      </c>
      <c r="AN128" s="239">
        <v>28713000</v>
      </c>
      <c r="AO128" s="242">
        <v>226797000</v>
      </c>
      <c r="AP128" s="242">
        <v>5352657000</v>
      </c>
      <c r="AQ128" s="239">
        <v>2707678000</v>
      </c>
      <c r="AR128" s="239">
        <v>0</v>
      </c>
      <c r="AS128" s="239">
        <v>174098000</v>
      </c>
      <c r="AT128" s="239">
        <v>0</v>
      </c>
      <c r="AU128" s="239">
        <v>0</v>
      </c>
      <c r="AV128" s="239">
        <v>3479000</v>
      </c>
      <c r="AW128" s="242">
        <v>2885255000</v>
      </c>
      <c r="AX128" s="239">
        <v>9851000</v>
      </c>
      <c r="AY128" s="239">
        <v>2744000</v>
      </c>
      <c r="AZ128" s="239">
        <v>0</v>
      </c>
      <c r="BA128" s="239">
        <v>5931000</v>
      </c>
      <c r="BB128" s="239">
        <v>0</v>
      </c>
      <c r="BC128" s="242">
        <v>18526000</v>
      </c>
      <c r="BD128" s="242">
        <v>2903781000</v>
      </c>
      <c r="BE128" s="239">
        <v>1086940000</v>
      </c>
      <c r="BF128" s="239">
        <v>0</v>
      </c>
      <c r="BG128" s="239">
        <v>65754000</v>
      </c>
      <c r="BH128" s="239">
        <v>20041000</v>
      </c>
      <c r="BI128" s="239">
        <v>63703000</v>
      </c>
      <c r="BJ128" s="239">
        <v>1751274000</v>
      </c>
      <c r="BK128" s="239">
        <v>0</v>
      </c>
      <c r="BL128" s="242">
        <v>2987712000</v>
      </c>
      <c r="BM128" s="242">
        <v>-83931000</v>
      </c>
      <c r="BN128" s="239">
        <v>-28105000</v>
      </c>
      <c r="BO128" s="239">
        <v>1133000</v>
      </c>
      <c r="BP128" s="239">
        <v>-110903000</v>
      </c>
      <c r="BQ128" s="239">
        <v>0</v>
      </c>
      <c r="BR128" s="239">
        <v>0</v>
      </c>
      <c r="BS128" s="242">
        <v>-110903000</v>
      </c>
      <c r="BT128" s="243">
        <v>-3.5000000000000003E-2</v>
      </c>
      <c r="BU128" s="243">
        <v>6.0000000000000001E-3</v>
      </c>
      <c r="BV128" s="243">
        <v>-2.9000000000000001E-2</v>
      </c>
      <c r="BW128" s="244">
        <v>1</v>
      </c>
      <c r="BX128" s="245">
        <v>39</v>
      </c>
      <c r="BY128" s="245">
        <v>601</v>
      </c>
      <c r="BZ128" s="246">
        <f t="shared" si="6"/>
        <v>2.8348085287587067E-2</v>
      </c>
      <c r="CA128" s="247">
        <v>-4.0000000000000001E-3</v>
      </c>
      <c r="CB128" s="247">
        <v>4.2000000000000003E-2</v>
      </c>
      <c r="CC128" s="248">
        <v>12</v>
      </c>
      <c r="CD128" s="249">
        <v>3</v>
      </c>
      <c r="CE128" s="247">
        <f t="shared" si="7"/>
        <v>0</v>
      </c>
      <c r="CF128" s="242">
        <v>-83931000</v>
      </c>
      <c r="CG128" s="243">
        <v>-3.5000000000000003E-2</v>
      </c>
      <c r="CH128" s="243">
        <v>6.0000000000000001E-3</v>
      </c>
      <c r="CI128" s="243">
        <v>-2.9000000000000001E-2</v>
      </c>
    </row>
    <row r="129" spans="1:87" s="60" customFormat="1" ht="22.8" x14ac:dyDescent="0.3">
      <c r="A129" s="233">
        <v>3115</v>
      </c>
      <c r="B129" s="233" t="s">
        <v>201</v>
      </c>
      <c r="C129" s="233" t="s">
        <v>77</v>
      </c>
      <c r="D129" s="233">
        <v>6755</v>
      </c>
      <c r="E129" s="233">
        <v>2025</v>
      </c>
      <c r="F129" s="233" t="s">
        <v>275</v>
      </c>
      <c r="G129" s="233">
        <v>5</v>
      </c>
      <c r="H129" s="233">
        <v>12</v>
      </c>
      <c r="I129" s="233" t="s">
        <v>715</v>
      </c>
      <c r="J129" s="234">
        <v>25940000</v>
      </c>
      <c r="K129" s="234">
        <v>0</v>
      </c>
      <c r="L129" s="234">
        <v>0</v>
      </c>
      <c r="M129" s="234">
        <v>290390000</v>
      </c>
      <c r="N129" s="234">
        <v>4197949000</v>
      </c>
      <c r="O129" s="234">
        <v>16423000</v>
      </c>
      <c r="P129" s="234">
        <v>86141000</v>
      </c>
      <c r="Q129" s="242">
        <v>4616843000</v>
      </c>
      <c r="R129" s="234">
        <v>0</v>
      </c>
      <c r="S129" s="234">
        <v>0</v>
      </c>
      <c r="T129" s="234">
        <v>0</v>
      </c>
      <c r="U129" s="234">
        <v>0</v>
      </c>
      <c r="V129" s="234">
        <v>1230001000</v>
      </c>
      <c r="W129" s="234">
        <v>778132000</v>
      </c>
      <c r="X129" s="242">
        <v>451869000</v>
      </c>
      <c r="Y129" s="234">
        <v>283945000</v>
      </c>
      <c r="Z129" s="242">
        <v>735814000</v>
      </c>
      <c r="AA129" s="242">
        <v>5352657000</v>
      </c>
      <c r="AB129" s="234">
        <v>0</v>
      </c>
      <c r="AC129" s="234">
        <v>5319000</v>
      </c>
      <c r="AD129" s="234">
        <v>4564128000</v>
      </c>
      <c r="AE129" s="234">
        <v>243269000</v>
      </c>
      <c r="AF129" s="242">
        <v>4812716000</v>
      </c>
      <c r="AG129" s="234">
        <v>0</v>
      </c>
      <c r="AH129" s="234">
        <v>259662000</v>
      </c>
      <c r="AI129" s="234">
        <v>53482000</v>
      </c>
      <c r="AJ129" s="242">
        <v>313144000</v>
      </c>
      <c r="AK129" s="242">
        <v>5125860000</v>
      </c>
      <c r="AL129" s="234">
        <v>136915000</v>
      </c>
      <c r="AM129" s="234">
        <v>61169000</v>
      </c>
      <c r="AN129" s="234">
        <v>28713000</v>
      </c>
      <c r="AO129" s="242">
        <v>226797000</v>
      </c>
      <c r="AP129" s="242">
        <v>5352657000</v>
      </c>
      <c r="AQ129" s="234">
        <v>2707678000</v>
      </c>
      <c r="AR129" s="234">
        <v>0</v>
      </c>
      <c r="AS129" s="234">
        <v>174098000</v>
      </c>
      <c r="AT129" s="234">
        <v>0</v>
      </c>
      <c r="AU129" s="234">
        <v>0</v>
      </c>
      <c r="AV129" s="234">
        <v>3479000</v>
      </c>
      <c r="AW129" s="242">
        <v>2885255000</v>
      </c>
      <c r="AX129" s="234">
        <v>9851000</v>
      </c>
      <c r="AY129" s="234">
        <v>2744000</v>
      </c>
      <c r="AZ129" s="234">
        <v>0</v>
      </c>
      <c r="BA129" s="234">
        <v>5931000</v>
      </c>
      <c r="BB129" s="234">
        <v>0</v>
      </c>
      <c r="BC129" s="242">
        <v>18526000</v>
      </c>
      <c r="BD129" s="242">
        <v>2903781000</v>
      </c>
      <c r="BE129" s="234">
        <v>1086940000</v>
      </c>
      <c r="BF129" s="234">
        <v>0</v>
      </c>
      <c r="BG129" s="234">
        <v>65754000</v>
      </c>
      <c r="BH129" s="234">
        <v>20041000</v>
      </c>
      <c r="BI129" s="234">
        <v>63703000</v>
      </c>
      <c r="BJ129" s="234">
        <v>1751274000</v>
      </c>
      <c r="BK129" s="234">
        <v>0</v>
      </c>
      <c r="BL129" s="242">
        <v>2987712000</v>
      </c>
      <c r="BM129" s="242">
        <v>-83931000</v>
      </c>
      <c r="BN129" s="234">
        <v>-28105000</v>
      </c>
      <c r="BO129" s="234">
        <v>1133000</v>
      </c>
      <c r="BP129" s="234">
        <v>-110903000</v>
      </c>
      <c r="BQ129" s="234">
        <v>0</v>
      </c>
      <c r="BR129" s="234">
        <v>0</v>
      </c>
      <c r="BS129" s="242">
        <v>-110903000</v>
      </c>
      <c r="BT129" s="247">
        <v>-3.5000000000000003E-2</v>
      </c>
      <c r="BU129" s="247">
        <v>6.0000000000000001E-3</v>
      </c>
      <c r="BV129" s="247">
        <v>-2.9000000000000001E-2</v>
      </c>
      <c r="BW129" s="244">
        <v>1</v>
      </c>
      <c r="BX129" s="245">
        <v>39</v>
      </c>
      <c r="BY129" s="245">
        <v>601</v>
      </c>
      <c r="BZ129" s="246">
        <f t="shared" si="6"/>
        <v>2.8348085287587067E-2</v>
      </c>
      <c r="CA129" s="247">
        <v>-4.0000000000000001E-3</v>
      </c>
      <c r="CB129" s="247">
        <v>4.2000000000000003E-2</v>
      </c>
      <c r="CC129" s="248">
        <v>12</v>
      </c>
      <c r="CD129" s="248"/>
      <c r="CE129" s="247">
        <f t="shared" si="7"/>
        <v>0</v>
      </c>
      <c r="CF129" s="242">
        <v>-83931000</v>
      </c>
      <c r="CG129" s="247">
        <v>-3.5000000000000003E-2</v>
      </c>
      <c r="CH129" s="247">
        <v>6.0000000000000001E-3</v>
      </c>
      <c r="CI129" s="247">
        <v>-2.9000000000000001E-2</v>
      </c>
    </row>
    <row r="130" spans="1:87" s="60" customFormat="1" ht="22.8" hidden="1" x14ac:dyDescent="0.3">
      <c r="A130" s="238">
        <v>9784</v>
      </c>
      <c r="B130" s="238" t="s">
        <v>691</v>
      </c>
      <c r="C130" s="238" t="s">
        <v>83</v>
      </c>
      <c r="D130" s="238">
        <v>6755</v>
      </c>
      <c r="E130" s="238">
        <v>2025</v>
      </c>
      <c r="F130" s="238" t="s">
        <v>275</v>
      </c>
      <c r="G130" s="238">
        <v>5</v>
      </c>
      <c r="H130" s="238">
        <v>12</v>
      </c>
      <c r="I130" s="238" t="s">
        <v>715</v>
      </c>
      <c r="J130" s="239">
        <v>0</v>
      </c>
      <c r="K130" s="239">
        <v>0</v>
      </c>
      <c r="L130" s="239">
        <v>0</v>
      </c>
      <c r="M130" s="239">
        <v>0</v>
      </c>
      <c r="N130" s="239">
        <v>0</v>
      </c>
      <c r="O130" s="239">
        <v>0</v>
      </c>
      <c r="P130" s="239">
        <v>0</v>
      </c>
      <c r="Q130" s="242">
        <v>0</v>
      </c>
      <c r="R130" s="239">
        <v>0</v>
      </c>
      <c r="S130" s="239">
        <v>0</v>
      </c>
      <c r="T130" s="239">
        <v>0</v>
      </c>
      <c r="U130" s="239">
        <v>0</v>
      </c>
      <c r="V130" s="239">
        <v>0</v>
      </c>
      <c r="W130" s="239">
        <v>0</v>
      </c>
      <c r="X130" s="242">
        <v>0</v>
      </c>
      <c r="Y130" s="239">
        <v>0</v>
      </c>
      <c r="Z130" s="242">
        <v>0</v>
      </c>
      <c r="AA130" s="242">
        <v>0</v>
      </c>
      <c r="AB130" s="239">
        <v>0</v>
      </c>
      <c r="AC130" s="239">
        <v>0</v>
      </c>
      <c r="AD130" s="239">
        <v>0</v>
      </c>
      <c r="AE130" s="239">
        <v>0</v>
      </c>
      <c r="AF130" s="242">
        <v>0</v>
      </c>
      <c r="AG130" s="239">
        <v>0</v>
      </c>
      <c r="AH130" s="239">
        <v>0</v>
      </c>
      <c r="AI130" s="239">
        <v>0</v>
      </c>
      <c r="AJ130" s="242">
        <v>0</v>
      </c>
      <c r="AK130" s="242">
        <v>0</v>
      </c>
      <c r="AL130" s="239">
        <v>0</v>
      </c>
      <c r="AM130" s="239">
        <v>0</v>
      </c>
      <c r="AN130" s="239">
        <v>0</v>
      </c>
      <c r="AO130" s="242">
        <v>0</v>
      </c>
      <c r="AP130" s="242">
        <v>0</v>
      </c>
      <c r="AQ130" s="239">
        <v>590714000</v>
      </c>
      <c r="AR130" s="239">
        <v>0</v>
      </c>
      <c r="AS130" s="239">
        <v>278673000</v>
      </c>
      <c r="AT130" s="239">
        <v>0</v>
      </c>
      <c r="AU130" s="239">
        <v>0</v>
      </c>
      <c r="AV130" s="239">
        <v>1191000</v>
      </c>
      <c r="AW130" s="242">
        <v>870578000</v>
      </c>
      <c r="AX130" s="239">
        <v>168000</v>
      </c>
      <c r="AY130" s="239">
        <v>1190000</v>
      </c>
      <c r="AZ130" s="239">
        <v>0</v>
      </c>
      <c r="BA130" s="239">
        <v>5114000</v>
      </c>
      <c r="BB130" s="239">
        <v>0</v>
      </c>
      <c r="BC130" s="242">
        <v>6472000</v>
      </c>
      <c r="BD130" s="242">
        <v>877050000</v>
      </c>
      <c r="BE130" s="239">
        <v>698226000</v>
      </c>
      <c r="BF130" s="239">
        <v>0</v>
      </c>
      <c r="BG130" s="239">
        <v>3065000</v>
      </c>
      <c r="BH130" s="239">
        <v>0</v>
      </c>
      <c r="BI130" s="239">
        <v>0</v>
      </c>
      <c r="BJ130" s="239">
        <v>207726000</v>
      </c>
      <c r="BK130" s="239">
        <v>0</v>
      </c>
      <c r="BL130" s="242">
        <v>909017000</v>
      </c>
      <c r="BM130" s="242">
        <v>-31967000</v>
      </c>
      <c r="BN130" s="239">
        <v>33330000</v>
      </c>
      <c r="BO130" s="239">
        <v>0</v>
      </c>
      <c r="BP130" s="239">
        <v>1363000</v>
      </c>
      <c r="BQ130" s="239">
        <v>0</v>
      </c>
      <c r="BR130" s="239">
        <v>0</v>
      </c>
      <c r="BS130" s="242">
        <v>1363000</v>
      </c>
      <c r="BT130" s="243">
        <v>-4.3999999999999997E-2</v>
      </c>
      <c r="BU130" s="243">
        <v>7.0000000000000001E-3</v>
      </c>
      <c r="BV130" s="243">
        <v>-3.5999999999999997E-2</v>
      </c>
      <c r="BW130" s="244">
        <v>0</v>
      </c>
      <c r="BX130" s="245">
        <v>0</v>
      </c>
      <c r="BY130" s="245">
        <v>0</v>
      </c>
      <c r="BZ130" s="246">
        <f t="shared" ref="BZ130:BZ135" si="8">(BH130+BM130+BG130-AZ130)/(BG130+AB130)</f>
        <v>-9.4296900489396407</v>
      </c>
      <c r="CA130" s="247">
        <v>0</v>
      </c>
      <c r="CB130" s="247">
        <v>0</v>
      </c>
      <c r="CC130" s="248">
        <v>0</v>
      </c>
      <c r="CD130" s="249">
        <v>0</v>
      </c>
      <c r="CE130" s="247" t="e">
        <f t="shared" ref="CE130:CE135" si="9">AG130/(AG130+AL130)</f>
        <v>#DIV/0!</v>
      </c>
      <c r="CF130" s="242">
        <v>-31967000</v>
      </c>
      <c r="CG130" s="243">
        <v>-4.3999999999999997E-2</v>
      </c>
      <c r="CH130" s="243">
        <v>7.0000000000000001E-3</v>
      </c>
      <c r="CI130" s="243">
        <v>-3.5999999999999997E-2</v>
      </c>
    </row>
    <row r="131" spans="1:87" s="60" customFormat="1" ht="22.8" hidden="1" x14ac:dyDescent="0.3">
      <c r="A131" s="233">
        <v>9784</v>
      </c>
      <c r="B131" s="233" t="s">
        <v>202</v>
      </c>
      <c r="C131" s="233" t="s">
        <v>83</v>
      </c>
      <c r="D131" s="233">
        <v>6755</v>
      </c>
      <c r="E131" s="233">
        <v>2025</v>
      </c>
      <c r="F131" s="233" t="s">
        <v>275</v>
      </c>
      <c r="G131" s="233">
        <v>5</v>
      </c>
      <c r="H131" s="233">
        <v>12</v>
      </c>
      <c r="I131" s="233" t="s">
        <v>715</v>
      </c>
      <c r="J131" s="234">
        <v>0</v>
      </c>
      <c r="K131" s="234">
        <v>0</v>
      </c>
      <c r="L131" s="234">
        <v>0</v>
      </c>
      <c r="M131" s="234">
        <v>0</v>
      </c>
      <c r="N131" s="234">
        <v>0</v>
      </c>
      <c r="O131" s="234">
        <v>0</v>
      </c>
      <c r="P131" s="234">
        <v>0</v>
      </c>
      <c r="Q131" s="242">
        <v>0</v>
      </c>
      <c r="R131" s="234">
        <v>0</v>
      </c>
      <c r="S131" s="234">
        <v>0</v>
      </c>
      <c r="T131" s="234">
        <v>0</v>
      </c>
      <c r="U131" s="234">
        <v>0</v>
      </c>
      <c r="V131" s="234">
        <v>0</v>
      </c>
      <c r="W131" s="234">
        <v>0</v>
      </c>
      <c r="X131" s="242">
        <v>0</v>
      </c>
      <c r="Y131" s="234">
        <v>0</v>
      </c>
      <c r="Z131" s="242">
        <v>0</v>
      </c>
      <c r="AA131" s="242">
        <v>0</v>
      </c>
      <c r="AB131" s="234">
        <v>0</v>
      </c>
      <c r="AC131" s="234">
        <v>0</v>
      </c>
      <c r="AD131" s="234">
        <v>0</v>
      </c>
      <c r="AE131" s="234">
        <v>0</v>
      </c>
      <c r="AF131" s="242">
        <v>0</v>
      </c>
      <c r="AG131" s="234">
        <v>0</v>
      </c>
      <c r="AH131" s="234">
        <v>0</v>
      </c>
      <c r="AI131" s="234">
        <v>0</v>
      </c>
      <c r="AJ131" s="242">
        <v>0</v>
      </c>
      <c r="AK131" s="242">
        <v>0</v>
      </c>
      <c r="AL131" s="234">
        <v>0</v>
      </c>
      <c r="AM131" s="234">
        <v>0</v>
      </c>
      <c r="AN131" s="234">
        <v>0</v>
      </c>
      <c r="AO131" s="242">
        <v>0</v>
      </c>
      <c r="AP131" s="242">
        <v>0</v>
      </c>
      <c r="AQ131" s="234">
        <v>590714000</v>
      </c>
      <c r="AR131" s="234">
        <v>0</v>
      </c>
      <c r="AS131" s="234">
        <v>278673000</v>
      </c>
      <c r="AT131" s="234">
        <v>0</v>
      </c>
      <c r="AU131" s="234">
        <v>0</v>
      </c>
      <c r="AV131" s="234">
        <v>1191000</v>
      </c>
      <c r="AW131" s="242">
        <v>870578000</v>
      </c>
      <c r="AX131" s="234">
        <v>168000</v>
      </c>
      <c r="AY131" s="234">
        <v>1190000</v>
      </c>
      <c r="AZ131" s="234">
        <v>0</v>
      </c>
      <c r="BA131" s="234">
        <v>5114000</v>
      </c>
      <c r="BB131" s="234">
        <v>0</v>
      </c>
      <c r="BC131" s="242">
        <v>6472000</v>
      </c>
      <c r="BD131" s="242">
        <v>877050000</v>
      </c>
      <c r="BE131" s="234">
        <v>698226000</v>
      </c>
      <c r="BF131" s="234">
        <v>0</v>
      </c>
      <c r="BG131" s="234">
        <v>3065000</v>
      </c>
      <c r="BH131" s="234">
        <v>0</v>
      </c>
      <c r="BI131" s="234">
        <v>0</v>
      </c>
      <c r="BJ131" s="234">
        <v>207726000</v>
      </c>
      <c r="BK131" s="234">
        <v>0</v>
      </c>
      <c r="BL131" s="242">
        <v>909017000</v>
      </c>
      <c r="BM131" s="242">
        <v>-31967000</v>
      </c>
      <c r="BN131" s="234">
        <v>33330000</v>
      </c>
      <c r="BO131" s="234">
        <v>0</v>
      </c>
      <c r="BP131" s="234">
        <v>1363000</v>
      </c>
      <c r="BQ131" s="234">
        <v>0</v>
      </c>
      <c r="BR131" s="234">
        <v>0</v>
      </c>
      <c r="BS131" s="242">
        <v>1363000</v>
      </c>
      <c r="BT131" s="247">
        <v>-4.3999999999999997E-2</v>
      </c>
      <c r="BU131" s="247">
        <v>7.0000000000000001E-3</v>
      </c>
      <c r="BV131" s="247">
        <v>-3.5999999999999997E-2</v>
      </c>
      <c r="BW131" s="244">
        <v>0</v>
      </c>
      <c r="BX131" s="245">
        <v>0</v>
      </c>
      <c r="BY131" s="245">
        <v>0</v>
      </c>
      <c r="BZ131" s="246">
        <f t="shared" si="8"/>
        <v>-9.4296900489396407</v>
      </c>
      <c r="CA131" s="247">
        <v>0</v>
      </c>
      <c r="CB131" s="247">
        <v>0</v>
      </c>
      <c r="CC131" s="248">
        <v>0</v>
      </c>
      <c r="CD131" s="248"/>
      <c r="CE131" s="247" t="e">
        <f t="shared" si="9"/>
        <v>#DIV/0!</v>
      </c>
      <c r="CF131" s="242">
        <v>-31967000</v>
      </c>
      <c r="CG131" s="247">
        <v>-4.3999999999999997E-2</v>
      </c>
      <c r="CH131" s="247">
        <v>7.0000000000000001E-3</v>
      </c>
      <c r="CI131" s="247">
        <v>-3.5999999999999997E-2</v>
      </c>
    </row>
    <row r="132" spans="1:87" s="60" customFormat="1" ht="22.8" hidden="1" x14ac:dyDescent="0.3">
      <c r="A132" s="238">
        <v>12767</v>
      </c>
      <c r="B132" s="238" t="s">
        <v>203</v>
      </c>
      <c r="C132" s="238" t="s">
        <v>75</v>
      </c>
      <c r="D132" s="238">
        <v>12767</v>
      </c>
      <c r="E132" s="238">
        <v>2025</v>
      </c>
      <c r="F132" s="238" t="s">
        <v>275</v>
      </c>
      <c r="G132" s="238">
        <v>5</v>
      </c>
      <c r="H132" s="238">
        <v>12</v>
      </c>
      <c r="I132" s="238" t="s">
        <v>715</v>
      </c>
      <c r="J132" s="239">
        <v>18667393</v>
      </c>
      <c r="K132" s="239">
        <v>334880</v>
      </c>
      <c r="L132" s="239">
        <v>0</v>
      </c>
      <c r="M132" s="239">
        <v>40560447</v>
      </c>
      <c r="N132" s="239">
        <v>0</v>
      </c>
      <c r="O132" s="239">
        <v>0</v>
      </c>
      <c r="P132" s="239">
        <v>12636209</v>
      </c>
      <c r="Q132" s="242">
        <v>72198929</v>
      </c>
      <c r="R132" s="239">
        <v>5261733</v>
      </c>
      <c r="S132" s="239">
        <v>10000</v>
      </c>
      <c r="T132" s="239">
        <v>0</v>
      </c>
      <c r="U132" s="239">
        <v>0</v>
      </c>
      <c r="V132" s="239">
        <v>156407325</v>
      </c>
      <c r="W132" s="239">
        <v>97926624</v>
      </c>
      <c r="X132" s="242">
        <v>58480701</v>
      </c>
      <c r="Y132" s="239">
        <v>20047995</v>
      </c>
      <c r="Z132" s="242">
        <v>83800429</v>
      </c>
      <c r="AA132" s="242">
        <v>155999358</v>
      </c>
      <c r="AB132" s="239">
        <v>2420236</v>
      </c>
      <c r="AC132" s="239">
        <v>4800818</v>
      </c>
      <c r="AD132" s="239">
        <v>0</v>
      </c>
      <c r="AE132" s="239">
        <v>51042081</v>
      </c>
      <c r="AF132" s="242">
        <v>58263135</v>
      </c>
      <c r="AG132" s="239">
        <v>18852259</v>
      </c>
      <c r="AH132" s="239">
        <v>0</v>
      </c>
      <c r="AI132" s="239">
        <v>13255605</v>
      </c>
      <c r="AJ132" s="242">
        <v>32107864</v>
      </c>
      <c r="AK132" s="242">
        <v>90370999</v>
      </c>
      <c r="AL132" s="239">
        <v>57558064</v>
      </c>
      <c r="AM132" s="239">
        <v>4100670</v>
      </c>
      <c r="AN132" s="239">
        <v>3969625</v>
      </c>
      <c r="AO132" s="242">
        <v>65628359</v>
      </c>
      <c r="AP132" s="242">
        <v>155999358</v>
      </c>
      <c r="AQ132" s="239">
        <v>264147615</v>
      </c>
      <c r="AR132" s="239">
        <v>1914766</v>
      </c>
      <c r="AS132" s="239">
        <v>51634868</v>
      </c>
      <c r="AT132" s="239">
        <v>0</v>
      </c>
      <c r="AU132" s="239">
        <v>0</v>
      </c>
      <c r="AV132" s="239">
        <v>27886</v>
      </c>
      <c r="AW132" s="242">
        <v>317725135</v>
      </c>
      <c r="AX132" s="239">
        <v>214244</v>
      </c>
      <c r="AY132" s="239">
        <v>235544</v>
      </c>
      <c r="AZ132" s="239">
        <v>-132766</v>
      </c>
      <c r="BA132" s="239">
        <v>203648</v>
      </c>
      <c r="BB132" s="239">
        <v>-31129447</v>
      </c>
      <c r="BC132" s="242">
        <v>-30608777</v>
      </c>
      <c r="BD132" s="242">
        <v>287116358</v>
      </c>
      <c r="BE132" s="239">
        <v>194631125</v>
      </c>
      <c r="BF132" s="239">
        <v>0</v>
      </c>
      <c r="BG132" s="239">
        <v>7229258</v>
      </c>
      <c r="BH132" s="239">
        <v>950771</v>
      </c>
      <c r="BI132" s="239">
        <v>7022268</v>
      </c>
      <c r="BJ132" s="239">
        <v>96161242</v>
      </c>
      <c r="BK132" s="239">
        <v>0</v>
      </c>
      <c r="BL132" s="242">
        <v>305994664</v>
      </c>
      <c r="BM132" s="242">
        <v>-18878306</v>
      </c>
      <c r="BN132" s="239">
        <v>0</v>
      </c>
      <c r="BO132" s="239">
        <v>35077</v>
      </c>
      <c r="BP132" s="239">
        <v>-18843229</v>
      </c>
      <c r="BQ132" s="239">
        <v>32091948</v>
      </c>
      <c r="BR132" s="239">
        <v>0</v>
      </c>
      <c r="BS132" s="242">
        <v>13248719</v>
      </c>
      <c r="BT132" s="247">
        <v>4.1000000000000002E-2</v>
      </c>
      <c r="BU132" s="247">
        <v>-0.107</v>
      </c>
      <c r="BV132" s="247">
        <v>-6.6000000000000003E-2</v>
      </c>
      <c r="BW132" s="244">
        <v>1.2</v>
      </c>
      <c r="BX132" s="245">
        <v>56</v>
      </c>
      <c r="BY132" s="245">
        <v>65</v>
      </c>
      <c r="BZ132" s="246">
        <f t="shared" si="8"/>
        <v>-1.0949290190760261</v>
      </c>
      <c r="CA132" s="247">
        <v>-0.151</v>
      </c>
      <c r="CB132" s="247">
        <v>0.42099999999999999</v>
      </c>
      <c r="CC132" s="248">
        <v>14</v>
      </c>
      <c r="CD132" s="248"/>
      <c r="CE132" s="247">
        <f t="shared" si="9"/>
        <v>0.24672397995228995</v>
      </c>
      <c r="CF132" s="242">
        <v>0</v>
      </c>
      <c r="CG132" s="247">
        <v>0</v>
      </c>
      <c r="CH132" s="247">
        <v>-18878306</v>
      </c>
      <c r="CI132" s="247">
        <v>4.1000000000000002E-2</v>
      </c>
    </row>
    <row r="133" spans="1:87" s="60" customFormat="1" ht="22.8" hidden="1" x14ac:dyDescent="0.3">
      <c r="A133" s="233">
        <v>14428</v>
      </c>
      <c r="B133" s="233" t="s">
        <v>206</v>
      </c>
      <c r="C133" s="233" t="s">
        <v>83</v>
      </c>
      <c r="D133" s="233">
        <v>12767</v>
      </c>
      <c r="E133" s="233">
        <v>2025</v>
      </c>
      <c r="F133" s="233" t="s">
        <v>275</v>
      </c>
      <c r="G133" s="233">
        <v>5</v>
      </c>
      <c r="H133" s="233">
        <v>12</v>
      </c>
      <c r="I133" s="233" t="s">
        <v>715</v>
      </c>
      <c r="J133" s="234">
        <v>0</v>
      </c>
      <c r="K133" s="234">
        <v>0</v>
      </c>
      <c r="L133" s="234">
        <v>0</v>
      </c>
      <c r="M133" s="234">
        <v>0</v>
      </c>
      <c r="N133" s="234">
        <v>0</v>
      </c>
      <c r="O133" s="234">
        <v>0</v>
      </c>
      <c r="P133" s="234">
        <v>0</v>
      </c>
      <c r="Q133" s="242">
        <v>0</v>
      </c>
      <c r="R133" s="234">
        <v>0</v>
      </c>
      <c r="S133" s="234">
        <v>0</v>
      </c>
      <c r="T133" s="234">
        <v>0</v>
      </c>
      <c r="U133" s="234">
        <v>0</v>
      </c>
      <c r="V133" s="234">
        <v>0</v>
      </c>
      <c r="W133" s="234">
        <v>0</v>
      </c>
      <c r="X133" s="242">
        <v>0</v>
      </c>
      <c r="Y133" s="234">
        <v>0</v>
      </c>
      <c r="Z133" s="242">
        <v>0</v>
      </c>
      <c r="AA133" s="242">
        <v>0</v>
      </c>
      <c r="AB133" s="234">
        <v>0</v>
      </c>
      <c r="AC133" s="234">
        <v>0</v>
      </c>
      <c r="AD133" s="234">
        <v>0</v>
      </c>
      <c r="AE133" s="234">
        <v>0</v>
      </c>
      <c r="AF133" s="242">
        <v>0</v>
      </c>
      <c r="AG133" s="234">
        <v>0</v>
      </c>
      <c r="AH133" s="234">
        <v>0</v>
      </c>
      <c r="AI133" s="234">
        <v>0</v>
      </c>
      <c r="AJ133" s="242">
        <v>0</v>
      </c>
      <c r="AK133" s="242">
        <v>0</v>
      </c>
      <c r="AL133" s="234">
        <v>0</v>
      </c>
      <c r="AM133" s="234">
        <v>0</v>
      </c>
      <c r="AN133" s="234">
        <v>0</v>
      </c>
      <c r="AO133" s="242">
        <v>0</v>
      </c>
      <c r="AP133" s="242">
        <v>0</v>
      </c>
      <c r="AQ133" s="234">
        <v>10122490</v>
      </c>
      <c r="AR133" s="234">
        <v>1914766</v>
      </c>
      <c r="AS133" s="234">
        <v>1712215</v>
      </c>
      <c r="AT133" s="234">
        <v>0</v>
      </c>
      <c r="AU133" s="234">
        <v>0</v>
      </c>
      <c r="AV133" s="234">
        <v>0</v>
      </c>
      <c r="AW133" s="242">
        <v>13749471</v>
      </c>
      <c r="AX133" s="234">
        <v>0</v>
      </c>
      <c r="AY133" s="234">
        <v>0</v>
      </c>
      <c r="AZ133" s="234">
        <v>0</v>
      </c>
      <c r="BA133" s="234">
        <v>0</v>
      </c>
      <c r="BB133" s="234">
        <v>0</v>
      </c>
      <c r="BC133" s="242">
        <v>0</v>
      </c>
      <c r="BD133" s="242">
        <v>13749471</v>
      </c>
      <c r="BE133" s="234">
        <v>12142067</v>
      </c>
      <c r="BF133" s="234">
        <v>0</v>
      </c>
      <c r="BG133" s="234">
        <v>6434</v>
      </c>
      <c r="BH133" s="234">
        <v>0</v>
      </c>
      <c r="BI133" s="234">
        <v>0</v>
      </c>
      <c r="BJ133" s="234">
        <v>2058574</v>
      </c>
      <c r="BK133" s="234">
        <v>0</v>
      </c>
      <c r="BL133" s="242">
        <v>14207075</v>
      </c>
      <c r="BM133" s="242">
        <v>-457604</v>
      </c>
      <c r="BN133" s="234">
        <v>250000</v>
      </c>
      <c r="BO133" s="234">
        <v>0</v>
      </c>
      <c r="BP133" s="234">
        <v>-207604</v>
      </c>
      <c r="BQ133" s="234">
        <v>0</v>
      </c>
      <c r="BR133" s="234">
        <v>0</v>
      </c>
      <c r="BS133" s="242">
        <v>-207604</v>
      </c>
      <c r="BT133" s="247">
        <v>-3.3000000000000002E-2</v>
      </c>
      <c r="BU133" s="247">
        <v>0</v>
      </c>
      <c r="BV133" s="247">
        <v>-3.3000000000000002E-2</v>
      </c>
      <c r="BW133" s="244">
        <v>0</v>
      </c>
      <c r="BX133" s="245">
        <v>0</v>
      </c>
      <c r="BY133" s="245">
        <v>0</v>
      </c>
      <c r="BZ133" s="246">
        <f t="shared" si="8"/>
        <v>-70.122785203605844</v>
      </c>
      <c r="CA133" s="247">
        <v>0</v>
      </c>
      <c r="CB133" s="247">
        <v>0</v>
      </c>
      <c r="CC133" s="248">
        <v>0</v>
      </c>
      <c r="CD133" s="248"/>
      <c r="CE133" s="247" t="e">
        <f t="shared" si="9"/>
        <v>#DIV/0!</v>
      </c>
      <c r="CF133" s="242">
        <v>0</v>
      </c>
      <c r="CG133" s="247">
        <v>0</v>
      </c>
      <c r="CH133" s="247">
        <v>-457604</v>
      </c>
      <c r="CI133" s="247">
        <v>-3.3000000000000002E-2</v>
      </c>
    </row>
    <row r="134" spans="1:87" s="60" customFormat="1" ht="22.8" x14ac:dyDescent="0.3">
      <c r="A134" s="238">
        <v>138</v>
      </c>
      <c r="B134" s="238" t="s">
        <v>101</v>
      </c>
      <c r="C134" s="238" t="s">
        <v>77</v>
      </c>
      <c r="D134" s="238">
        <v>16665</v>
      </c>
      <c r="E134" s="238">
        <v>2025</v>
      </c>
      <c r="F134" s="238" t="s">
        <v>275</v>
      </c>
      <c r="G134" s="238">
        <v>5</v>
      </c>
      <c r="H134" s="238">
        <v>12</v>
      </c>
      <c r="I134" s="238" t="s">
        <v>715</v>
      </c>
      <c r="J134" s="239">
        <v>868000</v>
      </c>
      <c r="K134" s="239">
        <v>251228000</v>
      </c>
      <c r="L134" s="239">
        <v>0</v>
      </c>
      <c r="M134" s="239">
        <v>36238000</v>
      </c>
      <c r="N134" s="239">
        <v>146832000</v>
      </c>
      <c r="O134" s="239">
        <v>0</v>
      </c>
      <c r="P134" s="239">
        <v>14313000</v>
      </c>
      <c r="Q134" s="242">
        <v>449479000</v>
      </c>
      <c r="R134" s="239">
        <v>33577000</v>
      </c>
      <c r="S134" s="239">
        <v>0</v>
      </c>
      <c r="T134" s="239">
        <v>0</v>
      </c>
      <c r="U134" s="239">
        <v>0</v>
      </c>
      <c r="V134" s="239">
        <v>290384000</v>
      </c>
      <c r="W134" s="239">
        <v>183850000</v>
      </c>
      <c r="X134" s="242">
        <v>106534000</v>
      </c>
      <c r="Y134" s="239">
        <v>43993000</v>
      </c>
      <c r="Z134" s="242">
        <v>184104000</v>
      </c>
      <c r="AA134" s="242">
        <v>633583000</v>
      </c>
      <c r="AB134" s="239">
        <v>3590000</v>
      </c>
      <c r="AC134" s="239">
        <v>7395000</v>
      </c>
      <c r="AD134" s="239">
        <v>0</v>
      </c>
      <c r="AE134" s="239">
        <v>41501000</v>
      </c>
      <c r="AF134" s="242">
        <v>52486000</v>
      </c>
      <c r="AG134" s="239">
        <v>72029000</v>
      </c>
      <c r="AH134" s="239">
        <v>0</v>
      </c>
      <c r="AI134" s="239">
        <v>17524000</v>
      </c>
      <c r="AJ134" s="242">
        <v>89553000</v>
      </c>
      <c r="AK134" s="242">
        <v>142039000</v>
      </c>
      <c r="AL134" s="239">
        <v>458647000</v>
      </c>
      <c r="AM134" s="239">
        <v>22138000</v>
      </c>
      <c r="AN134" s="239">
        <v>10759000</v>
      </c>
      <c r="AO134" s="242">
        <v>491544000</v>
      </c>
      <c r="AP134" s="242">
        <v>633583000</v>
      </c>
      <c r="AQ134" s="239">
        <v>366041000</v>
      </c>
      <c r="AR134" s="239">
        <v>0</v>
      </c>
      <c r="AS134" s="239">
        <v>30146000</v>
      </c>
      <c r="AT134" s="239">
        <v>0</v>
      </c>
      <c r="AU134" s="239">
        <v>0</v>
      </c>
      <c r="AV134" s="239">
        <v>0</v>
      </c>
      <c r="AW134" s="242">
        <v>396187000</v>
      </c>
      <c r="AX134" s="239">
        <v>1874000</v>
      </c>
      <c r="AY134" s="239">
        <v>0</v>
      </c>
      <c r="AZ134" s="239">
        <v>18759000</v>
      </c>
      <c r="BA134" s="239">
        <v>-244000</v>
      </c>
      <c r="BB134" s="239">
        <v>0</v>
      </c>
      <c r="BC134" s="242">
        <v>20389000</v>
      </c>
      <c r="BD134" s="242">
        <v>416576000</v>
      </c>
      <c r="BE134" s="239">
        <v>169516000</v>
      </c>
      <c r="BF134" s="239">
        <v>0</v>
      </c>
      <c r="BG134" s="239">
        <v>16688000</v>
      </c>
      <c r="BH134" s="239">
        <v>2272000</v>
      </c>
      <c r="BI134" s="239">
        <v>9085000</v>
      </c>
      <c r="BJ134" s="239">
        <v>153738000</v>
      </c>
      <c r="BK134" s="239">
        <v>0</v>
      </c>
      <c r="BL134" s="242">
        <v>351299000</v>
      </c>
      <c r="BM134" s="242">
        <v>65277000</v>
      </c>
      <c r="BN134" s="239">
        <v>0</v>
      </c>
      <c r="BO134" s="239">
        <v>542000</v>
      </c>
      <c r="BP134" s="239">
        <v>65819000</v>
      </c>
      <c r="BQ134" s="239">
        <v>0</v>
      </c>
      <c r="BR134" s="239">
        <v>0</v>
      </c>
      <c r="BS134" s="242">
        <v>65819000</v>
      </c>
      <c r="BT134" s="243">
        <v>0.108</v>
      </c>
      <c r="BU134" s="243">
        <v>4.9000000000000002E-2</v>
      </c>
      <c r="BV134" s="243">
        <v>0.157</v>
      </c>
      <c r="BW134" s="244">
        <v>8.6</v>
      </c>
      <c r="BX134" s="245">
        <v>36</v>
      </c>
      <c r="BY134" s="245">
        <v>49</v>
      </c>
      <c r="BZ134" s="246">
        <f t="shared" si="8"/>
        <v>3.2290166683104844</v>
      </c>
      <c r="CA134" s="247">
        <v>0.50800000000000001</v>
      </c>
      <c r="CB134" s="247">
        <v>0.77600000000000002</v>
      </c>
      <c r="CC134" s="248">
        <v>11</v>
      </c>
      <c r="CD134" s="249">
        <v>275</v>
      </c>
      <c r="CE134" s="247">
        <f t="shared" si="9"/>
        <v>0.1357306529784652</v>
      </c>
      <c r="CF134" s="242">
        <v>65277000</v>
      </c>
      <c r="CG134" s="243">
        <v>0.108</v>
      </c>
      <c r="CH134" s="243">
        <v>4.9000000000000002E-2</v>
      </c>
      <c r="CI134" s="243">
        <v>0.157</v>
      </c>
    </row>
    <row r="135" spans="1:87" s="60" customFormat="1" ht="22.8" hidden="1" x14ac:dyDescent="0.3">
      <c r="A135" s="238">
        <v>12022</v>
      </c>
      <c r="B135" s="238" t="s">
        <v>112</v>
      </c>
      <c r="C135" s="238" t="s">
        <v>83</v>
      </c>
      <c r="D135" s="238">
        <v>16665</v>
      </c>
      <c r="E135" s="238">
        <v>2025</v>
      </c>
      <c r="F135" s="238" t="s">
        <v>275</v>
      </c>
      <c r="G135" s="238">
        <v>5</v>
      </c>
      <c r="H135" s="238">
        <v>12</v>
      </c>
      <c r="I135" s="238" t="s">
        <v>715</v>
      </c>
      <c r="J135" s="239">
        <v>0</v>
      </c>
      <c r="K135" s="239">
        <v>0</v>
      </c>
      <c r="L135" s="239">
        <v>0</v>
      </c>
      <c r="M135" s="239">
        <v>0</v>
      </c>
      <c r="N135" s="239">
        <v>0</v>
      </c>
      <c r="O135" s="239">
        <v>0</v>
      </c>
      <c r="P135" s="239">
        <v>0</v>
      </c>
      <c r="Q135" s="242">
        <v>0</v>
      </c>
      <c r="R135" s="239">
        <v>0</v>
      </c>
      <c r="S135" s="239">
        <v>0</v>
      </c>
      <c r="T135" s="239">
        <v>0</v>
      </c>
      <c r="U135" s="239">
        <v>0</v>
      </c>
      <c r="V135" s="239">
        <v>0</v>
      </c>
      <c r="W135" s="239">
        <v>0</v>
      </c>
      <c r="X135" s="242">
        <v>0</v>
      </c>
      <c r="Y135" s="239">
        <v>0</v>
      </c>
      <c r="Z135" s="242">
        <v>0</v>
      </c>
      <c r="AA135" s="242">
        <v>0</v>
      </c>
      <c r="AB135" s="239">
        <v>0</v>
      </c>
      <c r="AC135" s="239">
        <v>0</v>
      </c>
      <c r="AD135" s="239">
        <v>0</v>
      </c>
      <c r="AE135" s="239">
        <v>0</v>
      </c>
      <c r="AF135" s="242">
        <v>0</v>
      </c>
      <c r="AG135" s="239">
        <v>0</v>
      </c>
      <c r="AH135" s="239">
        <v>0</v>
      </c>
      <c r="AI135" s="239">
        <v>0</v>
      </c>
      <c r="AJ135" s="242">
        <v>0</v>
      </c>
      <c r="AK135" s="242">
        <v>0</v>
      </c>
      <c r="AL135" s="239">
        <v>0</v>
      </c>
      <c r="AM135" s="239">
        <v>0</v>
      </c>
      <c r="AN135" s="239">
        <v>0</v>
      </c>
      <c r="AO135" s="242">
        <v>0</v>
      </c>
      <c r="AP135" s="242">
        <v>0</v>
      </c>
      <c r="AQ135" s="239">
        <v>17719000</v>
      </c>
      <c r="AR135" s="239">
        <v>0</v>
      </c>
      <c r="AS135" s="239">
        <v>1436000</v>
      </c>
      <c r="AT135" s="239">
        <v>0</v>
      </c>
      <c r="AU135" s="239">
        <v>0</v>
      </c>
      <c r="AV135" s="239">
        <v>0</v>
      </c>
      <c r="AW135" s="242">
        <v>19155000</v>
      </c>
      <c r="AX135" s="239">
        <v>0</v>
      </c>
      <c r="AY135" s="239">
        <v>0</v>
      </c>
      <c r="AZ135" s="239">
        <v>0</v>
      </c>
      <c r="BA135" s="239">
        <v>0</v>
      </c>
      <c r="BB135" s="239">
        <v>0</v>
      </c>
      <c r="BC135" s="242">
        <v>0</v>
      </c>
      <c r="BD135" s="242">
        <v>19155000</v>
      </c>
      <c r="BE135" s="239">
        <v>14705000</v>
      </c>
      <c r="BF135" s="239">
        <v>0</v>
      </c>
      <c r="BG135" s="239">
        <v>110000</v>
      </c>
      <c r="BH135" s="239">
        <v>0</v>
      </c>
      <c r="BI135" s="239">
        <v>0</v>
      </c>
      <c r="BJ135" s="239">
        <v>5909000</v>
      </c>
      <c r="BK135" s="239">
        <v>0</v>
      </c>
      <c r="BL135" s="242">
        <v>20724000</v>
      </c>
      <c r="BM135" s="242">
        <v>-1569000</v>
      </c>
      <c r="BN135" s="239">
        <v>0</v>
      </c>
      <c r="BO135" s="239">
        <v>0</v>
      </c>
      <c r="BP135" s="239">
        <v>-1569000</v>
      </c>
      <c r="BQ135" s="239">
        <v>0</v>
      </c>
      <c r="BR135" s="239">
        <v>0</v>
      </c>
      <c r="BS135" s="242">
        <v>-1569000</v>
      </c>
      <c r="BT135" s="243">
        <v>-8.2000000000000003E-2</v>
      </c>
      <c r="BU135" s="243">
        <v>0</v>
      </c>
      <c r="BV135" s="243">
        <v>-8.2000000000000003E-2</v>
      </c>
      <c r="BW135" s="244">
        <v>0</v>
      </c>
      <c r="BX135" s="245">
        <v>0</v>
      </c>
      <c r="BY135" s="245">
        <v>0</v>
      </c>
      <c r="BZ135" s="246">
        <f t="shared" si="8"/>
        <v>-13.263636363636364</v>
      </c>
      <c r="CA135" s="247">
        <v>0</v>
      </c>
      <c r="CB135" s="247">
        <v>0</v>
      </c>
      <c r="CC135" s="248">
        <v>0</v>
      </c>
      <c r="CD135" s="249">
        <v>0</v>
      </c>
      <c r="CE135" s="247" t="e">
        <f t="shared" si="9"/>
        <v>#DIV/0!</v>
      </c>
      <c r="CF135" s="242">
        <v>-1569000</v>
      </c>
      <c r="CG135" s="243">
        <v>-8.2000000000000003E-2</v>
      </c>
      <c r="CH135" s="243">
        <v>0</v>
      </c>
      <c r="CI135" s="243">
        <v>-8.2000000000000003E-2</v>
      </c>
    </row>
    <row r="136" spans="1:87" s="60" customFormat="1" x14ac:dyDescent="0.3">
      <c r="A136" s="14"/>
      <c r="B136" s="14"/>
      <c r="C136" s="14"/>
      <c r="D136" s="14"/>
      <c r="E136" s="14"/>
      <c r="F136" s="14"/>
      <c r="G136" s="14"/>
      <c r="H136" s="14"/>
      <c r="I136" s="14"/>
      <c r="J136" s="96"/>
      <c r="K136" s="96"/>
      <c r="L136" s="96"/>
      <c r="M136" s="103"/>
      <c r="N136" s="96"/>
      <c r="O136" s="96"/>
      <c r="P136" s="96"/>
      <c r="Q136" s="104"/>
      <c r="R136" s="96"/>
      <c r="S136" s="96"/>
      <c r="T136" s="96"/>
      <c r="U136" s="96"/>
      <c r="V136" s="96"/>
      <c r="W136" s="96"/>
      <c r="X136" s="104"/>
      <c r="Y136" s="96"/>
      <c r="Z136" s="104"/>
      <c r="AA136" s="104"/>
      <c r="AB136" s="96"/>
      <c r="AC136" s="96"/>
      <c r="AD136" s="96"/>
      <c r="AE136" s="96"/>
      <c r="AF136" s="104"/>
      <c r="AG136" s="96"/>
      <c r="AH136" s="96"/>
      <c r="AI136" s="96"/>
      <c r="AJ136" s="104"/>
      <c r="AK136" s="104"/>
      <c r="AL136" s="96"/>
      <c r="AM136" s="96"/>
      <c r="AN136" s="96"/>
      <c r="AO136" s="104"/>
      <c r="AP136" s="104"/>
      <c r="AQ136" s="96"/>
      <c r="AR136" s="96"/>
      <c r="AS136" s="96"/>
      <c r="AT136" s="96"/>
      <c r="AU136" s="96"/>
      <c r="AV136" s="96"/>
      <c r="AW136" s="104"/>
      <c r="AX136" s="96"/>
      <c r="AY136" s="96"/>
      <c r="AZ136" s="96"/>
      <c r="BA136" s="96"/>
      <c r="BB136" s="96"/>
      <c r="BC136" s="104"/>
      <c r="BD136" s="104"/>
      <c r="BE136" s="96"/>
      <c r="BF136" s="96"/>
      <c r="BG136" s="96"/>
      <c r="BH136" s="96"/>
      <c r="BI136" s="96"/>
      <c r="BJ136" s="96"/>
      <c r="BK136" s="96"/>
      <c r="BL136" s="104"/>
      <c r="BM136" s="104"/>
      <c r="BN136" s="96"/>
      <c r="BO136" s="96"/>
      <c r="BP136" s="96"/>
      <c r="BQ136" s="96"/>
      <c r="BR136" s="96"/>
      <c r="BS136" s="104"/>
      <c r="BT136" s="109"/>
      <c r="BU136" s="109"/>
      <c r="BV136" s="109"/>
      <c r="BW136" s="106"/>
      <c r="BX136" s="107"/>
      <c r="BY136" s="107"/>
      <c r="BZ136" s="108"/>
      <c r="CA136" s="109"/>
      <c r="CB136" s="109"/>
      <c r="CC136" s="110"/>
    </row>
    <row r="137" spans="1:87" s="60" customFormat="1" x14ac:dyDescent="0.3">
      <c r="A137" s="57"/>
      <c r="B137" s="57"/>
      <c r="C137" s="57"/>
      <c r="D137" s="57"/>
      <c r="E137" s="57"/>
      <c r="F137" s="57"/>
      <c r="G137" s="57"/>
      <c r="H137" s="57"/>
      <c r="I137" s="57"/>
      <c r="J137" s="100"/>
      <c r="K137" s="100"/>
      <c r="L137" s="100"/>
      <c r="M137" s="112"/>
      <c r="N137" s="100"/>
      <c r="O137" s="100"/>
      <c r="P137" s="100"/>
      <c r="Q137" s="104"/>
      <c r="R137" s="100"/>
      <c r="S137" s="100"/>
      <c r="T137" s="100"/>
      <c r="U137" s="100"/>
      <c r="V137" s="100"/>
      <c r="W137" s="100"/>
      <c r="X137" s="104"/>
      <c r="Y137" s="100"/>
      <c r="Z137" s="104"/>
      <c r="AA137" s="104"/>
      <c r="AB137" s="100"/>
      <c r="AC137" s="100"/>
      <c r="AD137" s="100"/>
      <c r="AE137" s="100"/>
      <c r="AF137" s="104"/>
      <c r="AG137" s="100"/>
      <c r="AH137" s="100"/>
      <c r="AI137" s="100"/>
      <c r="AJ137" s="104"/>
      <c r="AK137" s="104"/>
      <c r="AL137" s="100"/>
      <c r="AM137" s="100"/>
      <c r="AN137" s="100"/>
      <c r="AO137" s="104"/>
      <c r="AP137" s="104"/>
      <c r="AQ137" s="100"/>
      <c r="AR137" s="100"/>
      <c r="AS137" s="100"/>
      <c r="AT137" s="100"/>
      <c r="AU137" s="100"/>
      <c r="AV137" s="100"/>
      <c r="AW137" s="104"/>
      <c r="AX137" s="100"/>
      <c r="AY137" s="100"/>
      <c r="AZ137" s="100"/>
      <c r="BA137" s="100"/>
      <c r="BB137" s="100"/>
      <c r="BC137" s="104"/>
      <c r="BD137" s="104"/>
      <c r="BE137" s="100"/>
      <c r="BF137" s="100"/>
      <c r="BG137" s="100"/>
      <c r="BH137" s="100"/>
      <c r="BI137" s="100"/>
      <c r="BJ137" s="100"/>
      <c r="BK137" s="100"/>
      <c r="BL137" s="104"/>
      <c r="BM137" s="104"/>
      <c r="BN137" s="100"/>
      <c r="BO137" s="100"/>
      <c r="BP137" s="100"/>
      <c r="BQ137" s="100"/>
      <c r="BR137" s="100"/>
      <c r="BS137" s="104"/>
      <c r="BT137" s="109"/>
      <c r="BU137" s="109"/>
      <c r="BV137" s="109"/>
      <c r="BW137" s="106"/>
      <c r="BX137" s="107"/>
      <c r="BY137" s="107"/>
      <c r="BZ137" s="108"/>
      <c r="CA137" s="109"/>
      <c r="CB137" s="109"/>
      <c r="CC137" s="110"/>
    </row>
    <row r="138" spans="1:87" s="60" customFormat="1" x14ac:dyDescent="0.3">
      <c r="A138" s="14"/>
      <c r="B138" s="14"/>
      <c r="C138" s="14"/>
      <c r="D138" s="14"/>
      <c r="E138" s="14"/>
      <c r="F138" s="14"/>
      <c r="G138" s="14"/>
      <c r="H138" s="14"/>
      <c r="I138" s="14"/>
      <c r="J138" s="96"/>
      <c r="K138" s="96"/>
      <c r="L138" s="96"/>
      <c r="M138" s="103"/>
      <c r="N138" s="96"/>
      <c r="O138" s="96"/>
      <c r="P138" s="96"/>
      <c r="Q138" s="104"/>
      <c r="R138" s="96"/>
      <c r="S138" s="96"/>
      <c r="T138" s="96"/>
      <c r="U138" s="96"/>
      <c r="V138" s="96"/>
      <c r="W138" s="96"/>
      <c r="X138" s="104"/>
      <c r="Y138" s="96"/>
      <c r="Z138" s="104"/>
      <c r="AA138" s="104"/>
      <c r="AB138" s="96"/>
      <c r="AC138" s="96"/>
      <c r="AD138" s="96"/>
      <c r="AE138" s="96"/>
      <c r="AF138" s="104"/>
      <c r="AG138" s="96"/>
      <c r="AH138" s="96"/>
      <c r="AI138" s="96"/>
      <c r="AJ138" s="104"/>
      <c r="AK138" s="104"/>
      <c r="AL138" s="96"/>
      <c r="AM138" s="96"/>
      <c r="AN138" s="96"/>
      <c r="AO138" s="104"/>
      <c r="AP138" s="104"/>
      <c r="AQ138" s="96"/>
      <c r="AR138" s="96"/>
      <c r="AS138" s="96"/>
      <c r="AT138" s="96"/>
      <c r="AU138" s="96"/>
      <c r="AV138" s="96"/>
      <c r="AW138" s="104"/>
      <c r="AX138" s="96"/>
      <c r="AY138" s="96"/>
      <c r="AZ138" s="96"/>
      <c r="BA138" s="96"/>
      <c r="BB138" s="96"/>
      <c r="BC138" s="104"/>
      <c r="BD138" s="104"/>
      <c r="BE138" s="96"/>
      <c r="BF138" s="96"/>
      <c r="BG138" s="96"/>
      <c r="BH138" s="96"/>
      <c r="BI138" s="96"/>
      <c r="BJ138" s="96"/>
      <c r="BK138" s="96"/>
      <c r="BL138" s="104"/>
      <c r="BM138" s="104"/>
      <c r="BN138" s="96"/>
      <c r="BO138" s="96"/>
      <c r="BP138" s="96"/>
      <c r="BQ138" s="96"/>
      <c r="BR138" s="96"/>
      <c r="BS138" s="104"/>
      <c r="BT138" s="109"/>
      <c r="BU138" s="109"/>
      <c r="BV138" s="109"/>
      <c r="BW138" s="106"/>
      <c r="BX138" s="107"/>
      <c r="BY138" s="107"/>
      <c r="BZ138" s="108"/>
      <c r="CA138" s="109"/>
      <c r="CB138" s="109"/>
      <c r="CC138" s="110"/>
    </row>
    <row r="139" spans="1:87" s="60" customFormat="1" x14ac:dyDescent="0.3">
      <c r="A139" s="57"/>
      <c r="B139" s="57"/>
      <c r="C139" s="57"/>
      <c r="D139" s="57"/>
      <c r="E139" s="57"/>
      <c r="F139" s="57"/>
      <c r="G139" s="57"/>
      <c r="H139" s="57"/>
      <c r="I139" s="57"/>
      <c r="J139" s="100"/>
      <c r="K139" s="100"/>
      <c r="L139" s="100"/>
      <c r="M139" s="112"/>
      <c r="N139" s="100"/>
      <c r="O139" s="100"/>
      <c r="P139" s="100"/>
      <c r="Q139" s="104"/>
      <c r="R139" s="100"/>
      <c r="S139" s="100"/>
      <c r="T139" s="100"/>
      <c r="U139" s="100"/>
      <c r="V139" s="100"/>
      <c r="W139" s="100"/>
      <c r="X139" s="104"/>
      <c r="Y139" s="100"/>
      <c r="Z139" s="104"/>
      <c r="AA139" s="104"/>
      <c r="AB139" s="100"/>
      <c r="AC139" s="100"/>
      <c r="AD139" s="100"/>
      <c r="AE139" s="100"/>
      <c r="AF139" s="104"/>
      <c r="AG139" s="100"/>
      <c r="AH139" s="100"/>
      <c r="AI139" s="100"/>
      <c r="AJ139" s="104"/>
      <c r="AK139" s="104"/>
      <c r="AL139" s="100"/>
      <c r="AM139" s="100"/>
      <c r="AN139" s="100"/>
      <c r="AO139" s="104"/>
      <c r="AP139" s="104"/>
      <c r="AQ139" s="100"/>
      <c r="AR139" s="100"/>
      <c r="AS139" s="100"/>
      <c r="AT139" s="100"/>
      <c r="AU139" s="100"/>
      <c r="AV139" s="100"/>
      <c r="AW139" s="104"/>
      <c r="AX139" s="100"/>
      <c r="AY139" s="100"/>
      <c r="AZ139" s="100"/>
      <c r="BA139" s="100"/>
      <c r="BB139" s="100"/>
      <c r="BC139" s="104"/>
      <c r="BD139" s="104"/>
      <c r="BE139" s="100"/>
      <c r="BF139" s="100"/>
      <c r="BG139" s="100"/>
      <c r="BH139" s="100"/>
      <c r="BI139" s="100"/>
      <c r="BJ139" s="100"/>
      <c r="BK139" s="100"/>
      <c r="BL139" s="104"/>
      <c r="BM139" s="104"/>
      <c r="BN139" s="100"/>
      <c r="BO139" s="100"/>
      <c r="BP139" s="100"/>
      <c r="BQ139" s="100"/>
      <c r="BR139" s="100"/>
      <c r="BS139" s="104"/>
      <c r="BT139" s="109"/>
      <c r="BU139" s="109"/>
      <c r="BV139" s="109"/>
      <c r="BW139" s="106"/>
      <c r="BX139" s="107"/>
      <c r="BY139" s="107"/>
      <c r="BZ139" s="108"/>
      <c r="CA139" s="109"/>
      <c r="CB139" s="109"/>
      <c r="CC139" s="110"/>
    </row>
    <row r="140" spans="1:87" s="60" customFormat="1" x14ac:dyDescent="0.3">
      <c r="A140" s="14"/>
      <c r="B140" s="14"/>
      <c r="C140" s="14"/>
      <c r="D140" s="14"/>
      <c r="E140" s="14"/>
      <c r="F140" s="14"/>
      <c r="G140" s="14"/>
      <c r="H140" s="14"/>
      <c r="I140" s="14"/>
      <c r="J140" s="96"/>
      <c r="K140" s="96"/>
      <c r="L140" s="96"/>
      <c r="M140" s="103"/>
      <c r="N140" s="96"/>
      <c r="O140" s="96"/>
      <c r="P140" s="96"/>
      <c r="Q140" s="104"/>
      <c r="R140" s="96"/>
      <c r="S140" s="96"/>
      <c r="T140" s="96"/>
      <c r="U140" s="96"/>
      <c r="V140" s="96"/>
      <c r="W140" s="96"/>
      <c r="X140" s="104"/>
      <c r="Y140" s="96"/>
      <c r="Z140" s="104"/>
      <c r="AA140" s="104"/>
      <c r="AB140" s="96"/>
      <c r="AC140" s="96"/>
      <c r="AD140" s="96"/>
      <c r="AE140" s="96"/>
      <c r="AF140" s="104"/>
      <c r="AG140" s="96"/>
      <c r="AH140" s="96"/>
      <c r="AI140" s="96"/>
      <c r="AJ140" s="104"/>
      <c r="AK140" s="104"/>
      <c r="AL140" s="96"/>
      <c r="AM140" s="96"/>
      <c r="AN140" s="96"/>
      <c r="AO140" s="104"/>
      <c r="AP140" s="104"/>
      <c r="AQ140" s="96"/>
      <c r="AR140" s="96"/>
      <c r="AS140" s="96"/>
      <c r="AT140" s="96"/>
      <c r="AU140" s="96"/>
      <c r="AV140" s="96"/>
      <c r="AW140" s="104"/>
      <c r="AX140" s="96"/>
      <c r="AY140" s="96"/>
      <c r="AZ140" s="96"/>
      <c r="BA140" s="96"/>
      <c r="BB140" s="96"/>
      <c r="BC140" s="104"/>
      <c r="BD140" s="104"/>
      <c r="BE140" s="96"/>
      <c r="BF140" s="96"/>
      <c r="BG140" s="96"/>
      <c r="BH140" s="96"/>
      <c r="BI140" s="96"/>
      <c r="BJ140" s="96"/>
      <c r="BK140" s="96"/>
      <c r="BL140" s="104"/>
      <c r="BM140" s="104"/>
      <c r="BN140" s="96"/>
      <c r="BO140" s="96"/>
      <c r="BP140" s="96"/>
      <c r="BQ140" s="96"/>
      <c r="BR140" s="96"/>
      <c r="BS140" s="104"/>
      <c r="BT140" s="109"/>
      <c r="BU140" s="109"/>
      <c r="BV140" s="109"/>
      <c r="BW140" s="106"/>
      <c r="BX140" s="107"/>
      <c r="BY140" s="107"/>
      <c r="BZ140" s="108"/>
      <c r="CA140" s="109"/>
      <c r="CB140" s="109"/>
      <c r="CC140" s="110"/>
    </row>
    <row r="141" spans="1:87" s="60" customFormat="1" x14ac:dyDescent="0.3">
      <c r="A141" s="57"/>
      <c r="B141" s="57"/>
      <c r="C141" s="57"/>
      <c r="D141" s="57"/>
      <c r="E141" s="57"/>
      <c r="F141" s="57"/>
      <c r="G141" s="57"/>
      <c r="H141" s="57"/>
      <c r="I141" s="57"/>
      <c r="J141" s="100"/>
      <c r="K141" s="100"/>
      <c r="L141" s="100"/>
      <c r="M141" s="112"/>
      <c r="N141" s="100"/>
      <c r="O141" s="100"/>
      <c r="P141" s="100"/>
      <c r="Q141" s="104"/>
      <c r="R141" s="100"/>
      <c r="S141" s="100"/>
      <c r="T141" s="100"/>
      <c r="U141" s="100"/>
      <c r="V141" s="100"/>
      <c r="W141" s="100"/>
      <c r="X141" s="104"/>
      <c r="Y141" s="100"/>
      <c r="Z141" s="104"/>
      <c r="AA141" s="104"/>
      <c r="AB141" s="100"/>
      <c r="AC141" s="100"/>
      <c r="AD141" s="100"/>
      <c r="AE141" s="100"/>
      <c r="AF141" s="104"/>
      <c r="AG141" s="100"/>
      <c r="AH141" s="100"/>
      <c r="AI141" s="100"/>
      <c r="AJ141" s="104"/>
      <c r="AK141" s="104"/>
      <c r="AL141" s="100"/>
      <c r="AM141" s="100"/>
      <c r="AN141" s="100"/>
      <c r="AO141" s="104"/>
      <c r="AP141" s="104"/>
      <c r="AQ141" s="100"/>
      <c r="AR141" s="100"/>
      <c r="AS141" s="100"/>
      <c r="AT141" s="100"/>
      <c r="AU141" s="100"/>
      <c r="AV141" s="100"/>
      <c r="AW141" s="104"/>
      <c r="AX141" s="100"/>
      <c r="AY141" s="100"/>
      <c r="AZ141" s="100"/>
      <c r="BA141" s="100"/>
      <c r="BB141" s="100"/>
      <c r="BC141" s="104"/>
      <c r="BD141" s="104"/>
      <c r="BE141" s="100"/>
      <c r="BF141" s="100"/>
      <c r="BG141" s="100"/>
      <c r="BH141" s="100"/>
      <c r="BI141" s="100"/>
      <c r="BJ141" s="100"/>
      <c r="BK141" s="100"/>
      <c r="BL141" s="104"/>
      <c r="BM141" s="104"/>
      <c r="BN141" s="100"/>
      <c r="BO141" s="100"/>
      <c r="BP141" s="100"/>
      <c r="BQ141" s="100"/>
      <c r="BR141" s="100"/>
      <c r="BS141" s="104"/>
      <c r="BT141" s="109"/>
      <c r="BU141" s="109"/>
      <c r="BV141" s="109"/>
      <c r="BW141" s="106"/>
      <c r="BX141" s="107"/>
      <c r="BY141" s="107"/>
      <c r="BZ141" s="108"/>
      <c r="CA141" s="109"/>
      <c r="CB141" s="109"/>
      <c r="CC141" s="110"/>
    </row>
    <row r="142" spans="1:87" s="60" customFormat="1" x14ac:dyDescent="0.3">
      <c r="A142" s="14"/>
      <c r="B142" s="14"/>
      <c r="C142" s="14"/>
      <c r="D142" s="14"/>
      <c r="E142" s="14"/>
      <c r="F142" s="14"/>
      <c r="G142" s="14"/>
      <c r="H142" s="14"/>
      <c r="I142" s="14"/>
      <c r="J142" s="96"/>
      <c r="K142" s="96"/>
      <c r="L142" s="96"/>
      <c r="M142" s="103"/>
      <c r="N142" s="96"/>
      <c r="O142" s="96"/>
      <c r="P142" s="96"/>
      <c r="Q142" s="104"/>
      <c r="R142" s="96"/>
      <c r="S142" s="96"/>
      <c r="T142" s="96"/>
      <c r="U142" s="96"/>
      <c r="V142" s="96"/>
      <c r="W142" s="96"/>
      <c r="X142" s="104"/>
      <c r="Y142" s="96"/>
      <c r="Z142" s="104"/>
      <c r="AA142" s="104"/>
      <c r="AB142" s="96"/>
      <c r="AC142" s="96"/>
      <c r="AD142" s="96"/>
      <c r="AE142" s="96"/>
      <c r="AF142" s="104"/>
      <c r="AG142" s="96"/>
      <c r="AH142" s="96"/>
      <c r="AI142" s="96"/>
      <c r="AJ142" s="104"/>
      <c r="AK142" s="104"/>
      <c r="AL142" s="96"/>
      <c r="AM142" s="96"/>
      <c r="AN142" s="96"/>
      <c r="AO142" s="104"/>
      <c r="AP142" s="104"/>
      <c r="AQ142" s="96"/>
      <c r="AR142" s="96"/>
      <c r="AS142" s="96"/>
      <c r="AT142" s="96"/>
      <c r="AU142" s="96"/>
      <c r="AV142" s="96"/>
      <c r="AW142" s="104"/>
      <c r="AX142" s="96"/>
      <c r="AY142" s="96"/>
      <c r="AZ142" s="96"/>
      <c r="BA142" s="96"/>
      <c r="BB142" s="96"/>
      <c r="BC142" s="104"/>
      <c r="BD142" s="104"/>
      <c r="BE142" s="96"/>
      <c r="BF142" s="96"/>
      <c r="BG142" s="96"/>
      <c r="BH142" s="96"/>
      <c r="BI142" s="96"/>
      <c r="BJ142" s="96"/>
      <c r="BK142" s="96"/>
      <c r="BL142" s="104"/>
      <c r="BM142" s="104"/>
      <c r="BN142" s="96"/>
      <c r="BO142" s="96"/>
      <c r="BP142" s="96"/>
      <c r="BQ142" s="96"/>
      <c r="BR142" s="96"/>
      <c r="BS142" s="104"/>
      <c r="BT142" s="109"/>
      <c r="BU142" s="109"/>
      <c r="BV142" s="109"/>
      <c r="BW142" s="106"/>
      <c r="BX142" s="107"/>
      <c r="BY142" s="107"/>
      <c r="BZ142" s="108"/>
      <c r="CA142" s="109"/>
      <c r="CB142" s="109"/>
      <c r="CC142" s="110"/>
    </row>
    <row r="143" spans="1:87" s="60" customFormat="1" x14ac:dyDescent="0.3">
      <c r="A143" s="57"/>
      <c r="B143" s="57"/>
      <c r="C143" s="57"/>
      <c r="D143" s="57"/>
      <c r="E143" s="57"/>
      <c r="F143" s="57"/>
      <c r="G143" s="57"/>
      <c r="H143" s="57"/>
      <c r="I143" s="57"/>
      <c r="J143" s="100"/>
      <c r="K143" s="100"/>
      <c r="L143" s="100"/>
      <c r="M143" s="112"/>
      <c r="N143" s="100"/>
      <c r="O143" s="100"/>
      <c r="P143" s="100"/>
      <c r="Q143" s="104"/>
      <c r="R143" s="100"/>
      <c r="S143" s="100"/>
      <c r="T143" s="100"/>
      <c r="U143" s="100"/>
      <c r="V143" s="100"/>
      <c r="W143" s="100"/>
      <c r="X143" s="104"/>
      <c r="Y143" s="100"/>
      <c r="Z143" s="104"/>
      <c r="AA143" s="104"/>
      <c r="AB143" s="100"/>
      <c r="AC143" s="100"/>
      <c r="AD143" s="100"/>
      <c r="AE143" s="100"/>
      <c r="AF143" s="104"/>
      <c r="AG143" s="100"/>
      <c r="AH143" s="100"/>
      <c r="AI143" s="100"/>
      <c r="AJ143" s="104"/>
      <c r="AK143" s="104"/>
      <c r="AL143" s="100"/>
      <c r="AM143" s="100"/>
      <c r="AN143" s="100"/>
      <c r="AO143" s="104"/>
      <c r="AP143" s="104"/>
      <c r="AQ143" s="100"/>
      <c r="AR143" s="100"/>
      <c r="AS143" s="100"/>
      <c r="AT143" s="100"/>
      <c r="AU143" s="100"/>
      <c r="AV143" s="100"/>
      <c r="AW143" s="104"/>
      <c r="AX143" s="100"/>
      <c r="AY143" s="100"/>
      <c r="AZ143" s="100"/>
      <c r="BA143" s="100"/>
      <c r="BB143" s="100"/>
      <c r="BC143" s="104"/>
      <c r="BD143" s="104"/>
      <c r="BE143" s="100"/>
      <c r="BF143" s="100"/>
      <c r="BG143" s="100"/>
      <c r="BH143" s="100"/>
      <c r="BI143" s="100"/>
      <c r="BJ143" s="100"/>
      <c r="BK143" s="100"/>
      <c r="BL143" s="104"/>
      <c r="BM143" s="104"/>
      <c r="BN143" s="100"/>
      <c r="BO143" s="100"/>
      <c r="BP143" s="100"/>
      <c r="BQ143" s="100"/>
      <c r="BR143" s="100"/>
      <c r="BS143" s="104"/>
      <c r="BT143" s="109"/>
      <c r="BU143" s="109"/>
      <c r="BV143" s="109"/>
      <c r="BW143" s="106"/>
      <c r="BX143" s="107"/>
      <c r="BY143" s="107"/>
      <c r="BZ143" s="108"/>
      <c r="CA143" s="109"/>
      <c r="CB143" s="109"/>
      <c r="CC143" s="110"/>
    </row>
    <row r="144" spans="1:87" s="60" customFormat="1" x14ac:dyDescent="0.3">
      <c r="A144" s="14"/>
      <c r="B144" s="14"/>
      <c r="C144" s="14"/>
      <c r="D144" s="14"/>
      <c r="E144" s="14"/>
      <c r="F144" s="14"/>
      <c r="G144" s="14"/>
      <c r="H144" s="14"/>
      <c r="I144" s="14"/>
      <c r="J144" s="96"/>
      <c r="K144" s="96"/>
      <c r="L144" s="96"/>
      <c r="M144" s="103"/>
      <c r="N144" s="96"/>
      <c r="O144" s="96"/>
      <c r="P144" s="96"/>
      <c r="Q144" s="104"/>
      <c r="R144" s="96"/>
      <c r="S144" s="96"/>
      <c r="T144" s="96"/>
      <c r="U144" s="96"/>
      <c r="V144" s="96"/>
      <c r="W144" s="96"/>
      <c r="X144" s="104"/>
      <c r="Y144" s="96"/>
      <c r="Z144" s="104"/>
      <c r="AA144" s="104"/>
      <c r="AB144" s="96"/>
      <c r="AC144" s="96"/>
      <c r="AD144" s="96"/>
      <c r="AE144" s="96"/>
      <c r="AF144" s="104"/>
      <c r="AG144" s="96"/>
      <c r="AH144" s="96"/>
      <c r="AI144" s="96"/>
      <c r="AJ144" s="104"/>
      <c r="AK144" s="104"/>
      <c r="AL144" s="96"/>
      <c r="AM144" s="96"/>
      <c r="AN144" s="96"/>
      <c r="AO144" s="104"/>
      <c r="AP144" s="104"/>
      <c r="AQ144" s="96"/>
      <c r="AR144" s="96"/>
      <c r="AS144" s="96"/>
      <c r="AT144" s="96"/>
      <c r="AU144" s="96"/>
      <c r="AV144" s="96"/>
      <c r="AW144" s="104"/>
      <c r="AX144" s="96"/>
      <c r="AY144" s="96"/>
      <c r="AZ144" s="96"/>
      <c r="BA144" s="96"/>
      <c r="BB144" s="96"/>
      <c r="BC144" s="104"/>
      <c r="BD144" s="104"/>
      <c r="BE144" s="96"/>
      <c r="BF144" s="96"/>
      <c r="BG144" s="96"/>
      <c r="BH144" s="96"/>
      <c r="BI144" s="96"/>
      <c r="BJ144" s="96"/>
      <c r="BK144" s="96"/>
      <c r="BL144" s="104"/>
      <c r="BM144" s="104"/>
      <c r="BN144" s="96"/>
      <c r="BO144" s="96"/>
      <c r="BP144" s="96"/>
      <c r="BQ144" s="96"/>
      <c r="BR144" s="96"/>
      <c r="BS144" s="104"/>
      <c r="BT144" s="109"/>
      <c r="BU144" s="109"/>
      <c r="BV144" s="109"/>
      <c r="BW144" s="106"/>
      <c r="BX144" s="107"/>
      <c r="BY144" s="107"/>
      <c r="BZ144" s="108"/>
      <c r="CA144" s="109"/>
      <c r="CB144" s="109"/>
      <c r="CC144" s="110"/>
    </row>
    <row r="145" spans="1:81" s="60" customFormat="1" x14ac:dyDescent="0.3">
      <c r="A145" s="57"/>
      <c r="B145" s="57"/>
      <c r="C145" s="57"/>
      <c r="D145" s="57"/>
      <c r="E145" s="57"/>
      <c r="F145" s="57"/>
      <c r="G145" s="57"/>
      <c r="H145" s="57"/>
      <c r="I145" s="57"/>
      <c r="J145" s="100"/>
      <c r="K145" s="100"/>
      <c r="L145" s="100"/>
      <c r="M145" s="112"/>
      <c r="N145" s="100"/>
      <c r="O145" s="100"/>
      <c r="P145" s="100"/>
      <c r="Q145" s="104"/>
      <c r="R145" s="100"/>
      <c r="S145" s="100"/>
      <c r="T145" s="100"/>
      <c r="U145" s="100"/>
      <c r="V145" s="100"/>
      <c r="W145" s="100"/>
      <c r="X145" s="104"/>
      <c r="Y145" s="100"/>
      <c r="Z145" s="104"/>
      <c r="AA145" s="104"/>
      <c r="AB145" s="100"/>
      <c r="AC145" s="100"/>
      <c r="AD145" s="100"/>
      <c r="AE145" s="100"/>
      <c r="AF145" s="104"/>
      <c r="AG145" s="100"/>
      <c r="AH145" s="100"/>
      <c r="AI145" s="100"/>
      <c r="AJ145" s="104"/>
      <c r="AK145" s="104"/>
      <c r="AL145" s="100"/>
      <c r="AM145" s="100"/>
      <c r="AN145" s="100"/>
      <c r="AO145" s="104"/>
      <c r="AP145" s="104"/>
      <c r="AQ145" s="100"/>
      <c r="AR145" s="100"/>
      <c r="AS145" s="100"/>
      <c r="AT145" s="100"/>
      <c r="AU145" s="100"/>
      <c r="AV145" s="100"/>
      <c r="AW145" s="104"/>
      <c r="AX145" s="100"/>
      <c r="AY145" s="100"/>
      <c r="AZ145" s="100"/>
      <c r="BA145" s="100"/>
      <c r="BB145" s="100"/>
      <c r="BC145" s="104"/>
      <c r="BD145" s="104"/>
      <c r="BE145" s="100"/>
      <c r="BF145" s="100"/>
      <c r="BG145" s="100"/>
      <c r="BH145" s="100"/>
      <c r="BI145" s="100"/>
      <c r="BJ145" s="100"/>
      <c r="BK145" s="100"/>
      <c r="BL145" s="104"/>
      <c r="BM145" s="104"/>
      <c r="BN145" s="100"/>
      <c r="BO145" s="100"/>
      <c r="BP145" s="100"/>
      <c r="BQ145" s="100"/>
      <c r="BR145" s="100"/>
      <c r="BS145" s="104"/>
      <c r="BT145" s="109"/>
      <c r="BU145" s="109"/>
      <c r="BV145" s="109"/>
      <c r="BW145" s="106"/>
      <c r="BX145" s="107"/>
      <c r="BY145" s="107"/>
      <c r="BZ145" s="108"/>
      <c r="CA145" s="109"/>
      <c r="CB145" s="109"/>
      <c r="CC145" s="110"/>
    </row>
  </sheetData>
  <autoFilter ref="A1:CI135" xr:uid="{9DF1C485-C246-44DD-820C-61BB4072FCC6}">
    <filterColumn colId="2">
      <filters>
        <filter val="AcuteHospital"/>
      </filters>
    </filterColumn>
  </autoFilter>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7CD2D0-8812-4CA5-89C8-8808B0B2898E}">
  <sheetPr codeName="Sheet17">
    <tabColor rgb="FFFF0000"/>
  </sheetPr>
  <dimension ref="A1:CD150"/>
  <sheetViews>
    <sheetView zoomScale="63" workbookViewId="0">
      <selection activeCell="J146" sqref="J146"/>
    </sheetView>
  </sheetViews>
  <sheetFormatPr defaultColWidth="9.44140625" defaultRowHeight="30" customHeight="1" x14ac:dyDescent="0.3"/>
  <cols>
    <col min="1" max="11" width="17.44140625" style="13" customWidth="1"/>
    <col min="12" max="12" width="23.44140625" style="13" customWidth="1"/>
    <col min="13" max="13" width="11.44140625" style="13" bestFit="1" customWidth="1"/>
    <col min="14" max="82" width="17.44140625" style="13" customWidth="1"/>
    <col min="83" max="16384" width="9.44140625" style="13"/>
  </cols>
  <sheetData>
    <row r="1" spans="1:21" s="66" customFormat="1" ht="57" x14ac:dyDescent="0.3">
      <c r="A1" s="11" t="s">
        <v>46</v>
      </c>
      <c r="B1" s="11" t="s">
        <v>208</v>
      </c>
      <c r="C1" s="11" t="s">
        <v>209</v>
      </c>
      <c r="D1" s="11" t="s">
        <v>47</v>
      </c>
      <c r="E1" s="11" t="s">
        <v>210</v>
      </c>
      <c r="F1" s="11" t="s">
        <v>282</v>
      </c>
      <c r="G1" s="11" t="s">
        <v>212</v>
      </c>
      <c r="H1" s="11" t="s">
        <v>213</v>
      </c>
      <c r="I1" s="11" t="s">
        <v>214</v>
      </c>
      <c r="J1" s="11" t="s">
        <v>283</v>
      </c>
      <c r="K1" s="11" t="s">
        <v>284</v>
      </c>
      <c r="L1" s="11" t="s">
        <v>285</v>
      </c>
      <c r="M1" s="12" t="s">
        <v>286</v>
      </c>
      <c r="N1" s="11" t="s">
        <v>287</v>
      </c>
      <c r="O1" s="11" t="s">
        <v>288</v>
      </c>
      <c r="P1" s="11" t="s">
        <v>289</v>
      </c>
      <c r="Q1" s="11" t="s">
        <v>290</v>
      </c>
      <c r="R1" s="11" t="s">
        <v>291</v>
      </c>
      <c r="S1" s="11" t="s">
        <v>292</v>
      </c>
      <c r="T1" s="11" t="s">
        <v>293</v>
      </c>
      <c r="U1" s="11" t="s">
        <v>294</v>
      </c>
    </row>
    <row r="2" spans="1:21" s="66" customFormat="1" ht="22.8" x14ac:dyDescent="0.3">
      <c r="A2" s="233">
        <v>6309</v>
      </c>
      <c r="B2" s="233" t="s">
        <v>86</v>
      </c>
      <c r="C2" s="233" t="s">
        <v>77</v>
      </c>
      <c r="D2" s="233">
        <v>3106</v>
      </c>
      <c r="E2" s="233">
        <v>2025</v>
      </c>
      <c r="F2" s="233" t="s">
        <v>275</v>
      </c>
      <c r="G2" s="233">
        <v>2</v>
      </c>
      <c r="H2" s="233">
        <v>6</v>
      </c>
      <c r="I2" s="233" t="s">
        <v>706</v>
      </c>
      <c r="J2" s="234">
        <v>4836100.6900000004</v>
      </c>
      <c r="K2" s="235">
        <v>53722.75</v>
      </c>
      <c r="L2" s="236" t="s">
        <v>296</v>
      </c>
      <c r="M2" s="276" t="s">
        <v>297</v>
      </c>
      <c r="N2" s="277"/>
      <c r="O2" s="234">
        <v>6959082.1799999997</v>
      </c>
      <c r="P2" s="235">
        <v>64099.72</v>
      </c>
      <c r="Q2" s="236" t="s">
        <v>296</v>
      </c>
      <c r="R2" s="237" t="s">
        <v>297</v>
      </c>
      <c r="S2" s="234">
        <v>4259017.82</v>
      </c>
      <c r="T2" s="235">
        <v>11206.51</v>
      </c>
      <c r="U2" s="236" t="s">
        <v>296</v>
      </c>
    </row>
    <row r="3" spans="1:21" s="66" customFormat="1" ht="22.8" x14ac:dyDescent="0.3">
      <c r="A3" s="238">
        <v>12118</v>
      </c>
      <c r="B3" s="238" t="s">
        <v>89</v>
      </c>
      <c r="C3" s="238" t="s">
        <v>83</v>
      </c>
      <c r="D3" s="238">
        <v>3106</v>
      </c>
      <c r="E3" s="238">
        <v>2025</v>
      </c>
      <c r="F3" s="238" t="s">
        <v>275</v>
      </c>
      <c r="G3" s="238">
        <v>2</v>
      </c>
      <c r="H3" s="238">
        <v>6</v>
      </c>
      <c r="I3" s="238" t="s">
        <v>706</v>
      </c>
      <c r="J3" s="239">
        <v>0</v>
      </c>
      <c r="K3" s="240"/>
      <c r="L3" s="241"/>
      <c r="M3" s="278"/>
      <c r="N3" s="277"/>
      <c r="O3" s="239">
        <v>0</v>
      </c>
      <c r="P3" s="240">
        <v>0</v>
      </c>
      <c r="Q3" s="241"/>
      <c r="R3" s="237"/>
      <c r="S3" s="239">
        <v>69300</v>
      </c>
      <c r="T3" s="240">
        <v>0</v>
      </c>
      <c r="U3" s="241" t="s">
        <v>296</v>
      </c>
    </row>
    <row r="4" spans="1:21" s="66" customFormat="1" ht="22.8" x14ac:dyDescent="0.3">
      <c r="A4" s="233">
        <v>8</v>
      </c>
      <c r="B4" s="233" t="s">
        <v>87</v>
      </c>
      <c r="C4" s="233" t="s">
        <v>77</v>
      </c>
      <c r="D4" s="233">
        <v>3106</v>
      </c>
      <c r="E4" s="233">
        <v>2025</v>
      </c>
      <c r="F4" s="233" t="s">
        <v>275</v>
      </c>
      <c r="G4" s="233">
        <v>2</v>
      </c>
      <c r="H4" s="233">
        <v>6</v>
      </c>
      <c r="I4" s="233" t="s">
        <v>706</v>
      </c>
      <c r="J4" s="234">
        <v>128375.37</v>
      </c>
      <c r="K4" s="235">
        <v>409.41</v>
      </c>
      <c r="L4" s="236" t="s">
        <v>296</v>
      </c>
      <c r="M4" s="276" t="s">
        <v>297</v>
      </c>
      <c r="N4" s="277"/>
      <c r="O4" s="234">
        <v>332865.59999999998</v>
      </c>
      <c r="P4" s="235">
        <v>6033.49</v>
      </c>
      <c r="Q4" s="236" t="s">
        <v>296</v>
      </c>
      <c r="R4" s="237" t="s">
        <v>297</v>
      </c>
      <c r="S4" s="234">
        <v>788549.54</v>
      </c>
      <c r="T4" s="235">
        <v>408</v>
      </c>
      <c r="U4" s="236" t="s">
        <v>296</v>
      </c>
    </row>
    <row r="5" spans="1:21" s="66" customFormat="1" ht="22.8" x14ac:dyDescent="0.3">
      <c r="A5" s="238">
        <v>3106</v>
      </c>
      <c r="B5" s="238" t="s">
        <v>84</v>
      </c>
      <c r="C5" s="238" t="s">
        <v>75</v>
      </c>
      <c r="D5" s="238">
        <v>3106</v>
      </c>
      <c r="E5" s="238">
        <v>2025</v>
      </c>
      <c r="F5" s="238" t="s">
        <v>275</v>
      </c>
      <c r="G5" s="238">
        <v>2</v>
      </c>
      <c r="H5" s="238">
        <v>6</v>
      </c>
      <c r="I5" s="238" t="s">
        <v>706</v>
      </c>
      <c r="J5" s="239">
        <v>5402151.5599999996</v>
      </c>
      <c r="K5" s="240">
        <v>61512.2</v>
      </c>
      <c r="L5" s="241" t="s">
        <v>296</v>
      </c>
      <c r="M5" s="278" t="s">
        <v>297</v>
      </c>
      <c r="N5" s="277"/>
      <c r="O5" s="239">
        <v>7659452.4800000004</v>
      </c>
      <c r="P5" s="240">
        <v>75759.48</v>
      </c>
      <c r="Q5" s="241" t="s">
        <v>296</v>
      </c>
      <c r="R5" s="237" t="s">
        <v>297</v>
      </c>
      <c r="S5" s="239">
        <v>11095275.130000001</v>
      </c>
      <c r="T5" s="240">
        <v>19368.88</v>
      </c>
      <c r="U5" s="241" t="s">
        <v>296</v>
      </c>
    </row>
    <row r="6" spans="1:21" s="66" customFormat="1" ht="22.8" x14ac:dyDescent="0.3">
      <c r="A6" s="233">
        <v>21965</v>
      </c>
      <c r="B6" s="233" t="s">
        <v>207</v>
      </c>
      <c r="C6" s="233" t="s">
        <v>83</v>
      </c>
      <c r="D6" s="233">
        <v>3106</v>
      </c>
      <c r="E6" s="233">
        <v>2025</v>
      </c>
      <c r="F6" s="233" t="s">
        <v>275</v>
      </c>
      <c r="G6" s="233">
        <v>2</v>
      </c>
      <c r="H6" s="233">
        <v>6</v>
      </c>
      <c r="I6" s="233" t="s">
        <v>706</v>
      </c>
      <c r="J6" s="234">
        <v>437675.5</v>
      </c>
      <c r="K6" s="235">
        <v>7380.04</v>
      </c>
      <c r="L6" s="236" t="s">
        <v>296</v>
      </c>
      <c r="M6" s="276" t="s">
        <v>297</v>
      </c>
      <c r="N6" s="277"/>
      <c r="O6" s="234">
        <v>367504.7</v>
      </c>
      <c r="P6" s="235">
        <v>5626.27</v>
      </c>
      <c r="Q6" s="236" t="s">
        <v>296</v>
      </c>
      <c r="R6" s="237" t="s">
        <v>297</v>
      </c>
      <c r="S6" s="234">
        <v>7887.5</v>
      </c>
      <c r="T6" s="235">
        <v>70.790000000000006</v>
      </c>
      <c r="U6" s="236" t="s">
        <v>296</v>
      </c>
    </row>
    <row r="7" spans="1:21" s="66" customFormat="1" ht="22.8" x14ac:dyDescent="0.3">
      <c r="A7" s="238">
        <v>11794</v>
      </c>
      <c r="B7" s="238" t="s">
        <v>88</v>
      </c>
      <c r="C7" s="238" t="s">
        <v>83</v>
      </c>
      <c r="D7" s="238">
        <v>3106</v>
      </c>
      <c r="E7" s="238">
        <v>2025</v>
      </c>
      <c r="F7" s="238" t="s">
        <v>275</v>
      </c>
      <c r="G7" s="238">
        <v>2</v>
      </c>
      <c r="H7" s="238">
        <v>6</v>
      </c>
      <c r="I7" s="238" t="s">
        <v>706</v>
      </c>
      <c r="J7" s="239">
        <v>0</v>
      </c>
      <c r="K7" s="240"/>
      <c r="L7" s="241"/>
      <c r="M7" s="278"/>
      <c r="N7" s="277"/>
      <c r="O7" s="239">
        <v>0</v>
      </c>
      <c r="P7" s="240">
        <v>0</v>
      </c>
      <c r="Q7" s="241"/>
      <c r="R7" s="237"/>
      <c r="S7" s="239">
        <v>5970520.2699999996</v>
      </c>
      <c r="T7" s="240">
        <v>7683.58</v>
      </c>
      <c r="U7" s="241" t="s">
        <v>296</v>
      </c>
    </row>
    <row r="8" spans="1:21" s="66" customFormat="1" ht="22.8" x14ac:dyDescent="0.3">
      <c r="A8" s="233">
        <v>11810</v>
      </c>
      <c r="B8" s="233" t="s">
        <v>126</v>
      </c>
      <c r="C8" s="233" t="s">
        <v>83</v>
      </c>
      <c r="D8" s="233">
        <v>3109</v>
      </c>
      <c r="E8" s="233">
        <v>2025</v>
      </c>
      <c r="F8" s="233" t="s">
        <v>275</v>
      </c>
      <c r="G8" s="233">
        <v>2</v>
      </c>
      <c r="H8" s="233">
        <v>6</v>
      </c>
      <c r="I8" s="233" t="s">
        <v>706</v>
      </c>
      <c r="J8" s="234">
        <v>287491.25</v>
      </c>
      <c r="K8" s="235">
        <v>2971.75</v>
      </c>
      <c r="L8" s="236" t="s">
        <v>298</v>
      </c>
      <c r="M8" s="276" t="s">
        <v>299</v>
      </c>
      <c r="N8" s="277"/>
      <c r="O8" s="234">
        <v>77057.5</v>
      </c>
      <c r="P8" s="235">
        <v>899.5</v>
      </c>
      <c r="Q8" s="236" t="s">
        <v>298</v>
      </c>
      <c r="R8" s="237" t="s">
        <v>299</v>
      </c>
      <c r="S8" s="234">
        <v>0</v>
      </c>
      <c r="T8" s="235">
        <v>0</v>
      </c>
      <c r="U8" s="236"/>
    </row>
    <row r="9" spans="1:21" s="66" customFormat="1" ht="22.8" x14ac:dyDescent="0.3">
      <c r="A9" s="238">
        <v>39</v>
      </c>
      <c r="B9" s="238" t="s">
        <v>124</v>
      </c>
      <c r="C9" s="238" t="s">
        <v>77</v>
      </c>
      <c r="D9" s="238">
        <v>3109</v>
      </c>
      <c r="E9" s="238">
        <v>2025</v>
      </c>
      <c r="F9" s="238" t="s">
        <v>275</v>
      </c>
      <c r="G9" s="238">
        <v>2</v>
      </c>
      <c r="H9" s="238">
        <v>6</v>
      </c>
      <c r="I9" s="238" t="s">
        <v>706</v>
      </c>
      <c r="J9" s="239">
        <v>7037832.25</v>
      </c>
      <c r="K9" s="240">
        <v>68989.25</v>
      </c>
      <c r="L9" s="241" t="s">
        <v>298</v>
      </c>
      <c r="M9" s="278" t="s">
        <v>299</v>
      </c>
      <c r="N9" s="277"/>
      <c r="O9" s="239">
        <v>6372582.9100000001</v>
      </c>
      <c r="P9" s="240">
        <v>76945</v>
      </c>
      <c r="Q9" s="241" t="s">
        <v>298</v>
      </c>
      <c r="R9" s="237" t="s">
        <v>299</v>
      </c>
      <c r="S9" s="239">
        <v>0</v>
      </c>
      <c r="T9" s="240">
        <v>0</v>
      </c>
      <c r="U9" s="241"/>
    </row>
    <row r="10" spans="1:21" s="66" customFormat="1" ht="22.8" x14ac:dyDescent="0.3">
      <c r="A10" s="233">
        <v>3109</v>
      </c>
      <c r="B10" s="233" t="s">
        <v>122</v>
      </c>
      <c r="C10" s="233" t="s">
        <v>75</v>
      </c>
      <c r="D10" s="233">
        <v>3109</v>
      </c>
      <c r="E10" s="233">
        <v>2025</v>
      </c>
      <c r="F10" s="233" t="s">
        <v>275</v>
      </c>
      <c r="G10" s="233">
        <v>2</v>
      </c>
      <c r="H10" s="233">
        <v>6</v>
      </c>
      <c r="I10" s="233" t="s">
        <v>706</v>
      </c>
      <c r="J10" s="234">
        <v>14262661.16</v>
      </c>
      <c r="K10" s="235">
        <v>139640.41</v>
      </c>
      <c r="L10" s="236" t="s">
        <v>298</v>
      </c>
      <c r="M10" s="276" t="s">
        <v>299</v>
      </c>
      <c r="N10" s="277"/>
      <c r="O10" s="234">
        <v>10720781.210000001</v>
      </c>
      <c r="P10" s="235">
        <v>131797.15</v>
      </c>
      <c r="Q10" s="236" t="s">
        <v>298</v>
      </c>
      <c r="R10" s="237" t="s">
        <v>299</v>
      </c>
      <c r="S10" s="234">
        <v>0</v>
      </c>
      <c r="T10" s="235">
        <v>0</v>
      </c>
      <c r="U10" s="236"/>
    </row>
    <row r="11" spans="1:21" s="66" customFormat="1" ht="22.8" x14ac:dyDescent="0.3">
      <c r="A11" s="238">
        <v>40</v>
      </c>
      <c r="B11" s="238" t="s">
        <v>125</v>
      </c>
      <c r="C11" s="238" t="s">
        <v>77</v>
      </c>
      <c r="D11" s="238">
        <v>3109</v>
      </c>
      <c r="E11" s="238">
        <v>2025</v>
      </c>
      <c r="F11" s="238" t="s">
        <v>275</v>
      </c>
      <c r="G11" s="238">
        <v>2</v>
      </c>
      <c r="H11" s="238">
        <v>6</v>
      </c>
      <c r="I11" s="238" t="s">
        <v>706</v>
      </c>
      <c r="J11" s="239">
        <v>3544814</v>
      </c>
      <c r="K11" s="240">
        <v>36834.03</v>
      </c>
      <c r="L11" s="241" t="s">
        <v>298</v>
      </c>
      <c r="M11" s="278" t="s">
        <v>299</v>
      </c>
      <c r="N11" s="277"/>
      <c r="O11" s="239">
        <v>1981591.75</v>
      </c>
      <c r="P11" s="240">
        <v>22302.25</v>
      </c>
      <c r="Q11" s="241" t="s">
        <v>298</v>
      </c>
      <c r="R11" s="237" t="s">
        <v>299</v>
      </c>
      <c r="S11" s="239">
        <v>0</v>
      </c>
      <c r="T11" s="240">
        <v>0</v>
      </c>
      <c r="U11" s="241"/>
    </row>
    <row r="12" spans="1:21" s="66" customFormat="1" ht="22.8" x14ac:dyDescent="0.3">
      <c r="A12" s="233">
        <v>89</v>
      </c>
      <c r="B12" s="233" t="s">
        <v>146</v>
      </c>
      <c r="C12" s="233" t="s">
        <v>77</v>
      </c>
      <c r="D12" s="233">
        <v>3791</v>
      </c>
      <c r="E12" s="233">
        <v>2025</v>
      </c>
      <c r="F12" s="233" t="s">
        <v>275</v>
      </c>
      <c r="G12" s="233">
        <v>2</v>
      </c>
      <c r="H12" s="233">
        <v>6</v>
      </c>
      <c r="I12" s="233" t="s">
        <v>706</v>
      </c>
      <c r="J12" s="234">
        <v>1018813.16</v>
      </c>
      <c r="K12" s="235">
        <v>9730.5194700424508</v>
      </c>
      <c r="L12" s="236"/>
      <c r="M12" s="276"/>
      <c r="N12" s="277"/>
      <c r="O12" s="234">
        <v>830084.63</v>
      </c>
      <c r="P12" s="235">
        <v>11669.511290320201</v>
      </c>
      <c r="Q12" s="236"/>
      <c r="R12" s="237"/>
      <c r="S12" s="234">
        <v>0</v>
      </c>
      <c r="T12" s="235">
        <v>0</v>
      </c>
      <c r="U12" s="236"/>
    </row>
    <row r="13" spans="1:21" s="66" customFormat="1" ht="22.8" x14ac:dyDescent="0.3">
      <c r="A13" s="238">
        <v>50</v>
      </c>
      <c r="B13" s="238" t="s">
        <v>144</v>
      </c>
      <c r="C13" s="238" t="s">
        <v>77</v>
      </c>
      <c r="D13" s="238">
        <v>3791</v>
      </c>
      <c r="E13" s="238">
        <v>2025</v>
      </c>
      <c r="F13" s="238" t="s">
        <v>275</v>
      </c>
      <c r="G13" s="238">
        <v>2</v>
      </c>
      <c r="H13" s="238">
        <v>6</v>
      </c>
      <c r="I13" s="238" t="s">
        <v>706</v>
      </c>
      <c r="J13" s="239">
        <v>2622602.27</v>
      </c>
      <c r="K13" s="240">
        <v>27546.4834333246</v>
      </c>
      <c r="L13" s="241"/>
      <c r="M13" s="278"/>
      <c r="N13" s="277"/>
      <c r="O13" s="239">
        <v>949007.91698757804</v>
      </c>
      <c r="P13" s="240">
        <v>11826.426666662999</v>
      </c>
      <c r="Q13" s="241"/>
      <c r="R13" s="237"/>
      <c r="S13" s="239">
        <v>1010854.57</v>
      </c>
      <c r="T13" s="240">
        <v>1662.28</v>
      </c>
      <c r="U13" s="241"/>
    </row>
    <row r="14" spans="1:21" s="66" customFormat="1" ht="22.8" x14ac:dyDescent="0.3">
      <c r="A14" s="233">
        <v>105</v>
      </c>
      <c r="B14" s="233" t="s">
        <v>149</v>
      </c>
      <c r="C14" s="233" t="s">
        <v>77</v>
      </c>
      <c r="D14" s="233">
        <v>3791</v>
      </c>
      <c r="E14" s="233">
        <v>2025</v>
      </c>
      <c r="F14" s="233" t="s">
        <v>275</v>
      </c>
      <c r="G14" s="233">
        <v>2</v>
      </c>
      <c r="H14" s="233">
        <v>6</v>
      </c>
      <c r="I14" s="233" t="s">
        <v>706</v>
      </c>
      <c r="J14" s="234">
        <v>2435977.66</v>
      </c>
      <c r="K14" s="235">
        <v>26264.696285653499</v>
      </c>
      <c r="L14" s="236"/>
      <c r="M14" s="276"/>
      <c r="N14" s="277"/>
      <c r="O14" s="234">
        <v>6599232.3499999996</v>
      </c>
      <c r="P14" s="235">
        <v>103163.62599189</v>
      </c>
      <c r="Q14" s="236"/>
      <c r="R14" s="237"/>
      <c r="S14" s="234">
        <v>0</v>
      </c>
      <c r="T14" s="235">
        <v>0</v>
      </c>
      <c r="U14" s="236"/>
    </row>
    <row r="15" spans="1:21" s="66" customFormat="1" ht="22.8" x14ac:dyDescent="0.3">
      <c r="A15" s="238">
        <v>14423</v>
      </c>
      <c r="B15" s="238" t="s">
        <v>153</v>
      </c>
      <c r="C15" s="238" t="s">
        <v>83</v>
      </c>
      <c r="D15" s="238">
        <v>3791</v>
      </c>
      <c r="E15" s="238">
        <v>2025</v>
      </c>
      <c r="F15" s="238" t="s">
        <v>275</v>
      </c>
      <c r="G15" s="238">
        <v>2</v>
      </c>
      <c r="H15" s="238">
        <v>6</v>
      </c>
      <c r="I15" s="238" t="s">
        <v>706</v>
      </c>
      <c r="J15" s="239">
        <v>1732223</v>
      </c>
      <c r="K15" s="240">
        <v>5447.2421383647797</v>
      </c>
      <c r="L15" s="241"/>
      <c r="M15" s="278"/>
      <c r="N15" s="277"/>
      <c r="O15" s="239">
        <v>5169.9799999999996</v>
      </c>
      <c r="P15" s="240">
        <v>246.18952380952399</v>
      </c>
      <c r="Q15" s="241"/>
      <c r="R15" s="237"/>
      <c r="S15" s="239">
        <v>126282.48</v>
      </c>
      <c r="T15" s="240">
        <v>315.70620000000002</v>
      </c>
      <c r="U15" s="241"/>
    </row>
    <row r="16" spans="1:21" s="66" customFormat="1" ht="22.8" x14ac:dyDescent="0.3">
      <c r="A16" s="233">
        <v>8644</v>
      </c>
      <c r="B16" s="233" t="s">
        <v>156</v>
      </c>
      <c r="C16" s="233" t="s">
        <v>83</v>
      </c>
      <c r="D16" s="233">
        <v>3791</v>
      </c>
      <c r="E16" s="233">
        <v>2025</v>
      </c>
      <c r="F16" s="233" t="s">
        <v>275</v>
      </c>
      <c r="G16" s="233">
        <v>2</v>
      </c>
      <c r="H16" s="233">
        <v>6</v>
      </c>
      <c r="I16" s="233" t="s">
        <v>706</v>
      </c>
      <c r="J16" s="234">
        <v>51648.94</v>
      </c>
      <c r="K16" s="235">
        <v>1160.2933333333301</v>
      </c>
      <c r="L16" s="236"/>
      <c r="M16" s="276"/>
      <c r="N16" s="277"/>
      <c r="O16" s="234">
        <v>184516.86</v>
      </c>
      <c r="P16" s="235">
        <v>3805.88</v>
      </c>
      <c r="Q16" s="236"/>
      <c r="R16" s="237"/>
      <c r="S16" s="234">
        <v>0</v>
      </c>
      <c r="T16" s="235">
        <v>0</v>
      </c>
      <c r="U16" s="236"/>
    </row>
    <row r="17" spans="1:21" s="66" customFormat="1" ht="34.200000000000003" x14ac:dyDescent="0.3">
      <c r="A17" s="238">
        <v>11002</v>
      </c>
      <c r="B17" s="238" t="s">
        <v>154</v>
      </c>
      <c r="C17" s="238" t="s">
        <v>83</v>
      </c>
      <c r="D17" s="238">
        <v>3791</v>
      </c>
      <c r="E17" s="238">
        <v>2025</v>
      </c>
      <c r="F17" s="238" t="s">
        <v>275</v>
      </c>
      <c r="G17" s="238">
        <v>2</v>
      </c>
      <c r="H17" s="238">
        <v>6</v>
      </c>
      <c r="I17" s="238" t="s">
        <v>706</v>
      </c>
      <c r="J17" s="239">
        <v>548628.92000000004</v>
      </c>
      <c r="K17" s="240">
        <v>9188.7199999999993</v>
      </c>
      <c r="L17" s="241"/>
      <c r="M17" s="278"/>
      <c r="N17" s="277"/>
      <c r="O17" s="239">
        <v>975772.42</v>
      </c>
      <c r="P17" s="240">
        <v>48637.476316492597</v>
      </c>
      <c r="Q17" s="241"/>
      <c r="R17" s="237"/>
      <c r="S17" s="239">
        <v>429547.43</v>
      </c>
      <c r="T17" s="240">
        <v>1345.75</v>
      </c>
      <c r="U17" s="241"/>
    </row>
    <row r="18" spans="1:21" s="66" customFormat="1" ht="22.8" x14ac:dyDescent="0.3">
      <c r="A18" s="233">
        <v>88</v>
      </c>
      <c r="B18" s="233" t="s">
        <v>145</v>
      </c>
      <c r="C18" s="233" t="s">
        <v>77</v>
      </c>
      <c r="D18" s="233">
        <v>3791</v>
      </c>
      <c r="E18" s="233">
        <v>2025</v>
      </c>
      <c r="F18" s="233" t="s">
        <v>275</v>
      </c>
      <c r="G18" s="233">
        <v>2</v>
      </c>
      <c r="H18" s="233">
        <v>6</v>
      </c>
      <c r="I18" s="233" t="s">
        <v>706</v>
      </c>
      <c r="J18" s="234">
        <v>2266655.88</v>
      </c>
      <c r="K18" s="235">
        <v>23785.066666660001</v>
      </c>
      <c r="L18" s="236"/>
      <c r="M18" s="276"/>
      <c r="N18" s="277"/>
      <c r="O18" s="234">
        <v>3284834.94</v>
      </c>
      <c r="P18" s="235">
        <v>39922.7666666562</v>
      </c>
      <c r="Q18" s="236"/>
      <c r="R18" s="237"/>
      <c r="S18" s="234">
        <v>423123.16</v>
      </c>
      <c r="T18" s="235">
        <v>1116.5</v>
      </c>
      <c r="U18" s="236"/>
    </row>
    <row r="19" spans="1:21" s="66" customFormat="1" ht="22.8" x14ac:dyDescent="0.3">
      <c r="A19" s="238">
        <v>3791</v>
      </c>
      <c r="B19" s="238" t="s">
        <v>141</v>
      </c>
      <c r="C19" s="238" t="s">
        <v>75</v>
      </c>
      <c r="D19" s="238">
        <v>3791</v>
      </c>
      <c r="E19" s="238">
        <v>2025</v>
      </c>
      <c r="F19" s="238" t="s">
        <v>275</v>
      </c>
      <c r="G19" s="238">
        <v>2</v>
      </c>
      <c r="H19" s="238">
        <v>6</v>
      </c>
      <c r="I19" s="238" t="s">
        <v>706</v>
      </c>
      <c r="J19" s="239">
        <v>55179333.32</v>
      </c>
      <c r="K19" s="240">
        <v>575345.72563517396</v>
      </c>
      <c r="L19" s="241"/>
      <c r="M19" s="278"/>
      <c r="N19" s="277"/>
      <c r="O19" s="239">
        <v>63158167.382587597</v>
      </c>
      <c r="P19" s="240">
        <v>909131.95396777196</v>
      </c>
      <c r="Q19" s="241"/>
      <c r="R19" s="237"/>
      <c r="S19" s="239">
        <v>8311313.7400000002</v>
      </c>
      <c r="T19" s="240">
        <v>24781.6414615385</v>
      </c>
      <c r="U19" s="241"/>
    </row>
    <row r="20" spans="1:21" s="66" customFormat="1" ht="22.8" x14ac:dyDescent="0.3">
      <c r="A20" s="233">
        <v>22</v>
      </c>
      <c r="B20" s="233" t="s">
        <v>143</v>
      </c>
      <c r="C20" s="233" t="s">
        <v>77</v>
      </c>
      <c r="D20" s="233">
        <v>3791</v>
      </c>
      <c r="E20" s="233">
        <v>2025</v>
      </c>
      <c r="F20" s="233" t="s">
        <v>275</v>
      </c>
      <c r="G20" s="233">
        <v>2</v>
      </c>
      <c r="H20" s="233">
        <v>6</v>
      </c>
      <c r="I20" s="233" t="s">
        <v>706</v>
      </c>
      <c r="J20" s="234">
        <v>8726199</v>
      </c>
      <c r="K20" s="235">
        <v>94529</v>
      </c>
      <c r="L20" s="236"/>
      <c r="M20" s="276"/>
      <c r="N20" s="277"/>
      <c r="O20" s="234">
        <v>18198206</v>
      </c>
      <c r="P20" s="235">
        <v>209457</v>
      </c>
      <c r="Q20" s="236"/>
      <c r="R20" s="237"/>
      <c r="S20" s="234">
        <v>0</v>
      </c>
      <c r="T20" s="235">
        <v>0</v>
      </c>
      <c r="U20" s="236"/>
    </row>
    <row r="21" spans="1:21" s="66" customFormat="1" ht="22.8" x14ac:dyDescent="0.3">
      <c r="A21" s="238">
        <v>91</v>
      </c>
      <c r="B21" s="238" t="s">
        <v>147</v>
      </c>
      <c r="C21" s="238" t="s">
        <v>77</v>
      </c>
      <c r="D21" s="238">
        <v>3791</v>
      </c>
      <c r="E21" s="238">
        <v>2025</v>
      </c>
      <c r="F21" s="238" t="s">
        <v>275</v>
      </c>
      <c r="G21" s="238">
        <v>2</v>
      </c>
      <c r="H21" s="238">
        <v>6</v>
      </c>
      <c r="I21" s="238" t="s">
        <v>706</v>
      </c>
      <c r="J21" s="239">
        <v>11185752.99</v>
      </c>
      <c r="K21" s="240">
        <v>118613.423564022</v>
      </c>
      <c r="L21" s="241"/>
      <c r="M21" s="278"/>
      <c r="N21" s="277"/>
      <c r="O21" s="239">
        <v>12835810.08</v>
      </c>
      <c r="P21" s="240">
        <v>218949.34713964901</v>
      </c>
      <c r="Q21" s="241"/>
      <c r="R21" s="237"/>
      <c r="S21" s="239">
        <v>0</v>
      </c>
      <c r="T21" s="240">
        <v>0</v>
      </c>
      <c r="U21" s="241"/>
    </row>
    <row r="22" spans="1:21" s="66" customFormat="1" ht="22.8" x14ac:dyDescent="0.3">
      <c r="A22" s="233">
        <v>59</v>
      </c>
      <c r="B22" s="233" t="s">
        <v>142</v>
      </c>
      <c r="C22" s="233" t="s">
        <v>77</v>
      </c>
      <c r="D22" s="233">
        <v>3791</v>
      </c>
      <c r="E22" s="233">
        <v>2025</v>
      </c>
      <c r="F22" s="233" t="s">
        <v>275</v>
      </c>
      <c r="G22" s="233">
        <v>2</v>
      </c>
      <c r="H22" s="233">
        <v>6</v>
      </c>
      <c r="I22" s="233" t="s">
        <v>706</v>
      </c>
      <c r="J22" s="234">
        <v>3134803</v>
      </c>
      <c r="K22" s="235">
        <v>37645</v>
      </c>
      <c r="L22" s="236"/>
      <c r="M22" s="276"/>
      <c r="N22" s="277"/>
      <c r="O22" s="234">
        <v>7142881</v>
      </c>
      <c r="P22" s="235">
        <v>95497</v>
      </c>
      <c r="Q22" s="236"/>
      <c r="R22" s="237"/>
      <c r="S22" s="234">
        <v>0</v>
      </c>
      <c r="T22" s="235">
        <v>0</v>
      </c>
      <c r="U22" s="236"/>
    </row>
    <row r="23" spans="1:21" s="66" customFormat="1" ht="22.8" x14ac:dyDescent="0.3">
      <c r="A23" s="238">
        <v>345</v>
      </c>
      <c r="B23" s="238" t="s">
        <v>150</v>
      </c>
      <c r="C23" s="238" t="s">
        <v>77</v>
      </c>
      <c r="D23" s="238">
        <v>3791</v>
      </c>
      <c r="E23" s="238">
        <v>2025</v>
      </c>
      <c r="F23" s="238" t="s">
        <v>275</v>
      </c>
      <c r="G23" s="238">
        <v>2</v>
      </c>
      <c r="H23" s="238">
        <v>6</v>
      </c>
      <c r="I23" s="238" t="s">
        <v>706</v>
      </c>
      <c r="J23" s="239">
        <v>11537516.52</v>
      </c>
      <c r="K23" s="240">
        <v>131859.06375</v>
      </c>
      <c r="L23" s="241"/>
      <c r="M23" s="278"/>
      <c r="N23" s="277"/>
      <c r="O23" s="239">
        <v>5639895.9100000001</v>
      </c>
      <c r="P23" s="240">
        <v>79898.061749999993</v>
      </c>
      <c r="Q23" s="241"/>
      <c r="R23" s="237"/>
      <c r="S23" s="239">
        <v>0</v>
      </c>
      <c r="T23" s="240">
        <v>0</v>
      </c>
      <c r="U23" s="241"/>
    </row>
    <row r="24" spans="1:21" s="66" customFormat="1" ht="22.8" x14ac:dyDescent="0.3">
      <c r="A24" s="233">
        <v>9323</v>
      </c>
      <c r="B24" s="233" t="s">
        <v>152</v>
      </c>
      <c r="C24" s="233" t="s">
        <v>83</v>
      </c>
      <c r="D24" s="233">
        <v>3791</v>
      </c>
      <c r="E24" s="233">
        <v>2025</v>
      </c>
      <c r="F24" s="233" t="s">
        <v>275</v>
      </c>
      <c r="G24" s="233">
        <v>2</v>
      </c>
      <c r="H24" s="233">
        <v>6</v>
      </c>
      <c r="I24" s="233" t="s">
        <v>706</v>
      </c>
      <c r="J24" s="234">
        <v>54342</v>
      </c>
      <c r="K24" s="235">
        <v>617</v>
      </c>
      <c r="L24" s="236"/>
      <c r="M24" s="276"/>
      <c r="N24" s="277"/>
      <c r="O24" s="234">
        <v>0</v>
      </c>
      <c r="P24" s="235">
        <v>0</v>
      </c>
      <c r="Q24" s="236"/>
      <c r="R24" s="237"/>
      <c r="S24" s="234">
        <v>211894</v>
      </c>
      <c r="T24" s="235">
        <v>573</v>
      </c>
      <c r="U24" s="236"/>
    </row>
    <row r="25" spans="1:21" s="66" customFormat="1" ht="22.8" x14ac:dyDescent="0.3">
      <c r="A25" s="238">
        <v>101</v>
      </c>
      <c r="B25" s="238" t="s">
        <v>148</v>
      </c>
      <c r="C25" s="238" t="s">
        <v>77</v>
      </c>
      <c r="D25" s="238">
        <v>3791</v>
      </c>
      <c r="E25" s="238">
        <v>2025</v>
      </c>
      <c r="F25" s="238" t="s">
        <v>275</v>
      </c>
      <c r="G25" s="238">
        <v>2</v>
      </c>
      <c r="H25" s="238">
        <v>6</v>
      </c>
      <c r="I25" s="238" t="s">
        <v>706</v>
      </c>
      <c r="J25" s="239">
        <v>2816480.1</v>
      </c>
      <c r="K25" s="240">
        <v>27185.426666666699</v>
      </c>
      <c r="L25" s="241"/>
      <c r="M25" s="278"/>
      <c r="N25" s="277"/>
      <c r="O25" s="239">
        <v>1683291.3955999999</v>
      </c>
      <c r="P25" s="240">
        <v>17506.889999999701</v>
      </c>
      <c r="Q25" s="241"/>
      <c r="R25" s="237"/>
      <c r="S25" s="239">
        <v>873271.08</v>
      </c>
      <c r="T25" s="240">
        <v>4368</v>
      </c>
      <c r="U25" s="241"/>
    </row>
    <row r="26" spans="1:21" s="66" customFormat="1" ht="22.8" x14ac:dyDescent="0.3">
      <c r="A26" s="233">
        <v>11004</v>
      </c>
      <c r="B26" s="233" t="s">
        <v>157</v>
      </c>
      <c r="C26" s="233" t="s">
        <v>83</v>
      </c>
      <c r="D26" s="233">
        <v>3791</v>
      </c>
      <c r="E26" s="233">
        <v>2025</v>
      </c>
      <c r="F26" s="233" t="s">
        <v>275</v>
      </c>
      <c r="G26" s="233">
        <v>2</v>
      </c>
      <c r="H26" s="233">
        <v>6</v>
      </c>
      <c r="I26" s="233" t="s">
        <v>706</v>
      </c>
      <c r="J26" s="234">
        <v>39285.839999999997</v>
      </c>
      <c r="K26" s="235">
        <v>392.85840000000002</v>
      </c>
      <c r="L26" s="236"/>
      <c r="M26" s="276"/>
      <c r="N26" s="277"/>
      <c r="O26" s="234">
        <v>38462.03</v>
      </c>
      <c r="P26" s="235">
        <v>192.31014999999999</v>
      </c>
      <c r="Q26" s="236"/>
      <c r="R26" s="237"/>
      <c r="S26" s="234">
        <v>3770131.71</v>
      </c>
      <c r="T26" s="235">
        <v>11600.405261538501</v>
      </c>
      <c r="U26" s="236"/>
    </row>
    <row r="27" spans="1:21" s="66" customFormat="1" ht="22.8" x14ac:dyDescent="0.3">
      <c r="A27" s="238">
        <v>10996</v>
      </c>
      <c r="B27" s="238" t="s">
        <v>151</v>
      </c>
      <c r="C27" s="238" t="s">
        <v>83</v>
      </c>
      <c r="D27" s="238">
        <v>3791</v>
      </c>
      <c r="E27" s="238">
        <v>2025</v>
      </c>
      <c r="F27" s="238" t="s">
        <v>275</v>
      </c>
      <c r="G27" s="238">
        <v>2</v>
      </c>
      <c r="H27" s="238">
        <v>6</v>
      </c>
      <c r="I27" s="238" t="s">
        <v>706</v>
      </c>
      <c r="J27" s="239">
        <v>2088601.37</v>
      </c>
      <c r="K27" s="240">
        <v>8271.6885940594093</v>
      </c>
      <c r="L27" s="241"/>
      <c r="M27" s="278"/>
      <c r="N27" s="277"/>
      <c r="O27" s="239">
        <v>1205269.18</v>
      </c>
      <c r="P27" s="240">
        <v>21611.425138963601</v>
      </c>
      <c r="Q27" s="241"/>
      <c r="R27" s="237"/>
      <c r="S27" s="239">
        <v>0</v>
      </c>
      <c r="T27" s="240">
        <v>0</v>
      </c>
      <c r="U27" s="241"/>
    </row>
    <row r="28" spans="1:21" s="66" customFormat="1" ht="22.8" x14ac:dyDescent="0.3">
      <c r="A28" s="233">
        <v>8745</v>
      </c>
      <c r="B28" s="233" t="s">
        <v>158</v>
      </c>
      <c r="C28" s="233" t="s">
        <v>83</v>
      </c>
      <c r="D28" s="233">
        <v>3791</v>
      </c>
      <c r="E28" s="233">
        <v>2025</v>
      </c>
      <c r="F28" s="233" t="s">
        <v>275</v>
      </c>
      <c r="G28" s="233">
        <v>2</v>
      </c>
      <c r="H28" s="233">
        <v>6</v>
      </c>
      <c r="I28" s="233" t="s">
        <v>706</v>
      </c>
      <c r="J28" s="234">
        <v>0</v>
      </c>
      <c r="K28" s="235">
        <v>0</v>
      </c>
      <c r="L28" s="236"/>
      <c r="M28" s="276"/>
      <c r="N28" s="277"/>
      <c r="O28" s="234">
        <v>57597.66</v>
      </c>
      <c r="P28" s="235">
        <v>1440</v>
      </c>
      <c r="Q28" s="236"/>
      <c r="R28" s="237"/>
      <c r="S28" s="234">
        <v>0</v>
      </c>
      <c r="T28" s="235">
        <v>0</v>
      </c>
      <c r="U28" s="236"/>
    </row>
    <row r="29" spans="1:21" s="66" customFormat="1" ht="22.8" x14ac:dyDescent="0.3">
      <c r="A29" s="238">
        <v>16579</v>
      </c>
      <c r="B29" s="238" t="s">
        <v>155</v>
      </c>
      <c r="C29" s="238" t="s">
        <v>83</v>
      </c>
      <c r="D29" s="238">
        <v>3791</v>
      </c>
      <c r="E29" s="238">
        <v>2025</v>
      </c>
      <c r="F29" s="238" t="s">
        <v>275</v>
      </c>
      <c r="G29" s="238">
        <v>2</v>
      </c>
      <c r="H29" s="238">
        <v>6</v>
      </c>
      <c r="I29" s="238" t="s">
        <v>706</v>
      </c>
      <c r="J29" s="239">
        <v>0</v>
      </c>
      <c r="K29" s="240">
        <v>0</v>
      </c>
      <c r="L29" s="241"/>
      <c r="M29" s="278"/>
      <c r="N29" s="277"/>
      <c r="O29" s="239">
        <v>0</v>
      </c>
      <c r="P29" s="240">
        <v>0</v>
      </c>
      <c r="Q29" s="241"/>
      <c r="R29" s="237"/>
      <c r="S29" s="239">
        <v>0</v>
      </c>
      <c r="T29" s="240">
        <v>0</v>
      </c>
      <c r="U29" s="241"/>
    </row>
    <row r="30" spans="1:21" s="66" customFormat="1" ht="22.8" x14ac:dyDescent="0.3">
      <c r="A30" s="233">
        <v>3110</v>
      </c>
      <c r="B30" s="233" t="s">
        <v>508</v>
      </c>
      <c r="C30" s="233" t="s">
        <v>77</v>
      </c>
      <c r="D30" s="233">
        <v>3888</v>
      </c>
      <c r="E30" s="233">
        <v>2025</v>
      </c>
      <c r="F30" s="233" t="s">
        <v>630</v>
      </c>
      <c r="G30" s="233">
        <v>1</v>
      </c>
      <c r="H30" s="233">
        <v>3</v>
      </c>
      <c r="I30" s="233" t="s">
        <v>707</v>
      </c>
      <c r="J30" s="234">
        <v>396162.95</v>
      </c>
      <c r="K30" s="235">
        <v>3718.52</v>
      </c>
      <c r="L30" s="236" t="s">
        <v>298</v>
      </c>
      <c r="M30" s="276"/>
      <c r="N30" s="277"/>
      <c r="O30" s="234">
        <v>245549.86</v>
      </c>
      <c r="P30" s="235">
        <v>2856.11</v>
      </c>
      <c r="Q30" s="236" t="s">
        <v>298</v>
      </c>
      <c r="R30" s="237"/>
      <c r="S30" s="234">
        <v>-4026</v>
      </c>
      <c r="T30" s="235">
        <v>0</v>
      </c>
      <c r="U30" s="236" t="s">
        <v>296</v>
      </c>
    </row>
    <row r="31" spans="1:21" s="66" customFormat="1" ht="22.8" x14ac:dyDescent="0.3">
      <c r="A31" s="238">
        <v>127</v>
      </c>
      <c r="B31" s="238" t="s">
        <v>542</v>
      </c>
      <c r="C31" s="238" t="s">
        <v>77</v>
      </c>
      <c r="D31" s="238">
        <v>3888</v>
      </c>
      <c r="E31" s="238">
        <v>2025</v>
      </c>
      <c r="F31" s="238" t="s">
        <v>630</v>
      </c>
      <c r="G31" s="238">
        <v>1</v>
      </c>
      <c r="H31" s="238">
        <v>3</v>
      </c>
      <c r="I31" s="238" t="s">
        <v>707</v>
      </c>
      <c r="J31" s="239">
        <v>844783.77</v>
      </c>
      <c r="K31" s="240">
        <v>8006.96</v>
      </c>
      <c r="L31" s="241" t="s">
        <v>298</v>
      </c>
      <c r="M31" s="278"/>
      <c r="N31" s="277"/>
      <c r="O31" s="239">
        <v>642983.27</v>
      </c>
      <c r="P31" s="240">
        <v>6840.75</v>
      </c>
      <c r="Q31" s="241" t="s">
        <v>298</v>
      </c>
      <c r="R31" s="237"/>
      <c r="S31" s="239">
        <v>480087</v>
      </c>
      <c r="T31" s="240">
        <v>0</v>
      </c>
      <c r="U31" s="241" t="s">
        <v>296</v>
      </c>
    </row>
    <row r="32" spans="1:21" s="66" customFormat="1" ht="22.8" x14ac:dyDescent="0.3">
      <c r="A32" s="233">
        <v>3888</v>
      </c>
      <c r="B32" s="233" t="s">
        <v>615</v>
      </c>
      <c r="C32" s="233" t="s">
        <v>75</v>
      </c>
      <c r="D32" s="233">
        <v>3888</v>
      </c>
      <c r="E32" s="233">
        <v>2025</v>
      </c>
      <c r="F32" s="233" t="s">
        <v>630</v>
      </c>
      <c r="G32" s="233">
        <v>1</v>
      </c>
      <c r="H32" s="233">
        <v>3</v>
      </c>
      <c r="I32" s="233" t="s">
        <v>707</v>
      </c>
      <c r="J32" s="234">
        <v>1240946.72</v>
      </c>
      <c r="K32" s="235">
        <v>11725.48</v>
      </c>
      <c r="L32" s="236" t="s">
        <v>298</v>
      </c>
      <c r="M32" s="276"/>
      <c r="N32" s="277"/>
      <c r="O32" s="234">
        <v>1822643.13</v>
      </c>
      <c r="P32" s="235">
        <v>9696.86</v>
      </c>
      <c r="Q32" s="236" t="s">
        <v>298</v>
      </c>
      <c r="R32" s="237"/>
      <c r="S32" s="234">
        <v>476061</v>
      </c>
      <c r="T32" s="235">
        <v>0</v>
      </c>
      <c r="U32" s="236" t="s">
        <v>296</v>
      </c>
    </row>
    <row r="33" spans="1:21" s="66" customFormat="1" ht="22.8" x14ac:dyDescent="0.3">
      <c r="A33" s="238">
        <v>14427</v>
      </c>
      <c r="B33" s="238" t="s">
        <v>617</v>
      </c>
      <c r="C33" s="238" t="s">
        <v>83</v>
      </c>
      <c r="D33" s="238">
        <v>3888</v>
      </c>
      <c r="E33" s="238">
        <v>2025</v>
      </c>
      <c r="F33" s="238" t="s">
        <v>630</v>
      </c>
      <c r="G33" s="238">
        <v>1</v>
      </c>
      <c r="H33" s="238">
        <v>3</v>
      </c>
      <c r="I33" s="238" t="s">
        <v>707</v>
      </c>
      <c r="J33" s="239">
        <v>0</v>
      </c>
      <c r="K33" s="240"/>
      <c r="L33" s="241"/>
      <c r="M33" s="278"/>
      <c r="N33" s="277"/>
      <c r="O33" s="239">
        <v>796984</v>
      </c>
      <c r="P33" s="240">
        <v>0</v>
      </c>
      <c r="Q33" s="241" t="s">
        <v>298</v>
      </c>
      <c r="R33" s="237"/>
      <c r="S33" s="239">
        <v>0</v>
      </c>
      <c r="T33" s="240">
        <v>0</v>
      </c>
      <c r="U33" s="241"/>
    </row>
    <row r="34" spans="1:21" s="66" customFormat="1" ht="22.8" x14ac:dyDescent="0.3">
      <c r="A34" s="233">
        <v>11394</v>
      </c>
      <c r="B34" s="233" t="s">
        <v>616</v>
      </c>
      <c r="C34" s="233" t="s">
        <v>83</v>
      </c>
      <c r="D34" s="233">
        <v>3888</v>
      </c>
      <c r="E34" s="233">
        <v>2025</v>
      </c>
      <c r="F34" s="233" t="s">
        <v>630</v>
      </c>
      <c r="G34" s="233">
        <v>1</v>
      </c>
      <c r="H34" s="233">
        <v>3</v>
      </c>
      <c r="I34" s="233" t="s">
        <v>707</v>
      </c>
      <c r="J34" s="234">
        <v>0</v>
      </c>
      <c r="K34" s="235"/>
      <c r="L34" s="236"/>
      <c r="M34" s="276"/>
      <c r="N34" s="277"/>
      <c r="O34" s="234">
        <v>137126</v>
      </c>
      <c r="P34" s="235">
        <v>0</v>
      </c>
      <c r="Q34" s="236" t="s">
        <v>298</v>
      </c>
      <c r="R34" s="237"/>
      <c r="S34" s="234">
        <v>0</v>
      </c>
      <c r="T34" s="235">
        <v>0</v>
      </c>
      <c r="U34" s="236"/>
    </row>
    <row r="35" spans="1:21" s="66" customFormat="1" ht="22.8" x14ac:dyDescent="0.3">
      <c r="A35" s="238">
        <v>3113</v>
      </c>
      <c r="B35" s="238" t="s">
        <v>171</v>
      </c>
      <c r="C35" s="238" t="s">
        <v>77</v>
      </c>
      <c r="D35" s="238">
        <v>4027</v>
      </c>
      <c r="E35" s="238">
        <v>2025</v>
      </c>
      <c r="F35" s="238" t="s">
        <v>275</v>
      </c>
      <c r="G35" s="238">
        <v>2</v>
      </c>
      <c r="H35" s="238">
        <v>6</v>
      </c>
      <c r="I35" s="238" t="s">
        <v>706</v>
      </c>
      <c r="J35" s="239">
        <v>4790285.8587263599</v>
      </c>
      <c r="K35" s="240">
        <v>44552.31</v>
      </c>
      <c r="L35" s="241" t="s">
        <v>298</v>
      </c>
      <c r="M35" s="278" t="s">
        <v>300</v>
      </c>
      <c r="N35" s="277"/>
      <c r="O35" s="239">
        <v>1192354.4868663601</v>
      </c>
      <c r="P35" s="240">
        <v>17554.113000000001</v>
      </c>
      <c r="Q35" s="241" t="s">
        <v>298</v>
      </c>
      <c r="R35" s="237" t="s">
        <v>300</v>
      </c>
      <c r="S35" s="239">
        <v>2716870.53</v>
      </c>
      <c r="T35" s="240">
        <v>14625.689084223601</v>
      </c>
      <c r="U35" s="241" t="s">
        <v>296</v>
      </c>
    </row>
    <row r="36" spans="1:21" s="66" customFormat="1" ht="22.8" x14ac:dyDescent="0.3">
      <c r="A36" s="233">
        <v>4027</v>
      </c>
      <c r="B36" s="233" t="s">
        <v>170</v>
      </c>
      <c r="C36" s="233" t="s">
        <v>75</v>
      </c>
      <c r="D36" s="233">
        <v>4027</v>
      </c>
      <c r="E36" s="233">
        <v>2025</v>
      </c>
      <c r="F36" s="233" t="s">
        <v>275</v>
      </c>
      <c r="G36" s="233">
        <v>2</v>
      </c>
      <c r="H36" s="233">
        <v>6</v>
      </c>
      <c r="I36" s="233" t="s">
        <v>706</v>
      </c>
      <c r="J36" s="234">
        <v>4834791.8587263599</v>
      </c>
      <c r="K36" s="235">
        <v>45058.06</v>
      </c>
      <c r="L36" s="236" t="s">
        <v>298</v>
      </c>
      <c r="M36" s="276" t="s">
        <v>300</v>
      </c>
      <c r="N36" s="277"/>
      <c r="O36" s="234">
        <v>1902225.61686636</v>
      </c>
      <c r="P36" s="235">
        <v>26599.0774948055</v>
      </c>
      <c r="Q36" s="236" t="s">
        <v>298</v>
      </c>
      <c r="R36" s="237" t="s">
        <v>300</v>
      </c>
      <c r="S36" s="234">
        <v>9007284.9600000009</v>
      </c>
      <c r="T36" s="235">
        <v>35924.855955335901</v>
      </c>
      <c r="U36" s="236" t="s">
        <v>296</v>
      </c>
    </row>
    <row r="37" spans="1:21" s="66" customFormat="1" ht="22.8" x14ac:dyDescent="0.3">
      <c r="A37" s="238">
        <v>11497</v>
      </c>
      <c r="B37" s="238" t="s">
        <v>172</v>
      </c>
      <c r="C37" s="238" t="s">
        <v>83</v>
      </c>
      <c r="D37" s="238">
        <v>4027</v>
      </c>
      <c r="E37" s="238">
        <v>2025</v>
      </c>
      <c r="F37" s="238" t="s">
        <v>275</v>
      </c>
      <c r="G37" s="238">
        <v>2</v>
      </c>
      <c r="H37" s="238">
        <v>6</v>
      </c>
      <c r="I37" s="238" t="s">
        <v>706</v>
      </c>
      <c r="J37" s="239">
        <v>44506</v>
      </c>
      <c r="K37" s="240">
        <v>505.75</v>
      </c>
      <c r="L37" s="241" t="s">
        <v>298</v>
      </c>
      <c r="M37" s="278" t="s">
        <v>300</v>
      </c>
      <c r="N37" s="277"/>
      <c r="O37" s="239">
        <v>709871.13</v>
      </c>
      <c r="P37" s="240">
        <v>9044.9644948055502</v>
      </c>
      <c r="Q37" s="241" t="s">
        <v>298</v>
      </c>
      <c r="R37" s="237" t="s">
        <v>300</v>
      </c>
      <c r="S37" s="239">
        <v>6290414.4299999997</v>
      </c>
      <c r="T37" s="240">
        <v>21299.166871112298</v>
      </c>
      <c r="U37" s="241" t="s">
        <v>296</v>
      </c>
    </row>
    <row r="38" spans="1:21" s="66" customFormat="1" ht="22.8" x14ac:dyDescent="0.3">
      <c r="A38" s="233">
        <v>4</v>
      </c>
      <c r="B38" s="233" t="s">
        <v>79</v>
      </c>
      <c r="C38" s="233" t="s">
        <v>77</v>
      </c>
      <c r="D38" s="233">
        <v>4066</v>
      </c>
      <c r="E38" s="233">
        <v>2025</v>
      </c>
      <c r="F38" s="233" t="s">
        <v>275</v>
      </c>
      <c r="G38" s="233">
        <v>2</v>
      </c>
      <c r="H38" s="233">
        <v>6</v>
      </c>
      <c r="I38" s="233" t="s">
        <v>706</v>
      </c>
      <c r="J38" s="234">
        <v>7467675</v>
      </c>
      <c r="K38" s="235">
        <v>79976.94</v>
      </c>
      <c r="L38" s="236" t="s">
        <v>296</v>
      </c>
      <c r="M38" s="276" t="s">
        <v>302</v>
      </c>
      <c r="N38" s="277"/>
      <c r="O38" s="234">
        <v>2551215</v>
      </c>
      <c r="P38" s="235">
        <v>27294.36</v>
      </c>
      <c r="Q38" s="236" t="s">
        <v>296</v>
      </c>
      <c r="R38" s="237" t="s">
        <v>302</v>
      </c>
      <c r="S38" s="234">
        <v>0</v>
      </c>
      <c r="T38" s="235">
        <v>0</v>
      </c>
      <c r="U38" s="236"/>
    </row>
    <row r="39" spans="1:21" s="66" customFormat="1" ht="22.8" x14ac:dyDescent="0.3">
      <c r="A39" s="238">
        <v>14495</v>
      </c>
      <c r="B39" s="238" t="s">
        <v>81</v>
      </c>
      <c r="C39" s="238" t="s">
        <v>77</v>
      </c>
      <c r="D39" s="238">
        <v>4066</v>
      </c>
      <c r="E39" s="238">
        <v>2025</v>
      </c>
      <c r="F39" s="238" t="s">
        <v>275</v>
      </c>
      <c r="G39" s="238">
        <v>2</v>
      </c>
      <c r="H39" s="238">
        <v>6</v>
      </c>
      <c r="I39" s="238" t="s">
        <v>706</v>
      </c>
      <c r="J39" s="239">
        <v>1104751</v>
      </c>
      <c r="K39" s="240">
        <v>11960.31</v>
      </c>
      <c r="L39" s="241" t="s">
        <v>296</v>
      </c>
      <c r="M39" s="278" t="s">
        <v>302</v>
      </c>
      <c r="N39" s="277"/>
      <c r="O39" s="239">
        <v>101190</v>
      </c>
      <c r="P39" s="240">
        <v>1159.53</v>
      </c>
      <c r="Q39" s="241" t="s">
        <v>296</v>
      </c>
      <c r="R39" s="237" t="s">
        <v>302</v>
      </c>
      <c r="S39" s="239">
        <v>0</v>
      </c>
      <c r="T39" s="240">
        <v>0</v>
      </c>
      <c r="U39" s="241"/>
    </row>
    <row r="40" spans="1:21" s="66" customFormat="1" ht="22.8" x14ac:dyDescent="0.3">
      <c r="A40" s="233">
        <v>11490</v>
      </c>
      <c r="B40" s="233" t="s">
        <v>82</v>
      </c>
      <c r="C40" s="233" t="s">
        <v>83</v>
      </c>
      <c r="D40" s="233">
        <v>4066</v>
      </c>
      <c r="E40" s="233">
        <v>2025</v>
      </c>
      <c r="F40" s="233" t="s">
        <v>275</v>
      </c>
      <c r="G40" s="233">
        <v>2</v>
      </c>
      <c r="H40" s="233">
        <v>6</v>
      </c>
      <c r="I40" s="233" t="s">
        <v>706</v>
      </c>
      <c r="J40" s="235" t="e">
        <v>#VALUE!</v>
      </c>
      <c r="K40" s="235" t="s">
        <v>700</v>
      </c>
      <c r="L40" s="236" t="s">
        <v>296</v>
      </c>
      <c r="M40" s="276" t="s">
        <v>302</v>
      </c>
      <c r="N40" s="277"/>
      <c r="O40" s="234">
        <v>9811</v>
      </c>
      <c r="P40" s="235">
        <v>234.36</v>
      </c>
      <c r="Q40" s="236" t="s">
        <v>296</v>
      </c>
      <c r="R40" s="237" t="s">
        <v>302</v>
      </c>
      <c r="S40" s="234">
        <v>3017744</v>
      </c>
      <c r="T40" s="235">
        <v>0</v>
      </c>
      <c r="U40" s="236" t="s">
        <v>296</v>
      </c>
    </row>
    <row r="41" spans="1:21" s="66" customFormat="1" ht="22.8" x14ac:dyDescent="0.3">
      <c r="A41" s="238">
        <v>106</v>
      </c>
      <c r="B41" s="238" t="s">
        <v>80</v>
      </c>
      <c r="C41" s="238" t="s">
        <v>77</v>
      </c>
      <c r="D41" s="238">
        <v>4066</v>
      </c>
      <c r="E41" s="238">
        <v>2025</v>
      </c>
      <c r="F41" s="238" t="s">
        <v>275</v>
      </c>
      <c r="G41" s="238">
        <v>2</v>
      </c>
      <c r="H41" s="238">
        <v>6</v>
      </c>
      <c r="I41" s="238" t="s">
        <v>706</v>
      </c>
      <c r="J41" s="239">
        <v>543602</v>
      </c>
      <c r="K41" s="240">
        <v>6130.43</v>
      </c>
      <c r="L41" s="241" t="s">
        <v>296</v>
      </c>
      <c r="M41" s="278" t="s">
        <v>302</v>
      </c>
      <c r="N41" s="277"/>
      <c r="O41" s="239">
        <v>50196</v>
      </c>
      <c r="P41" s="240">
        <v>474.86</v>
      </c>
      <c r="Q41" s="241" t="s">
        <v>296</v>
      </c>
      <c r="R41" s="237" t="s">
        <v>302</v>
      </c>
      <c r="S41" s="239">
        <v>0</v>
      </c>
      <c r="T41" s="240">
        <v>0</v>
      </c>
      <c r="U41" s="241"/>
    </row>
    <row r="42" spans="1:21" s="66" customFormat="1" ht="22.8" x14ac:dyDescent="0.3">
      <c r="A42" s="233">
        <v>5</v>
      </c>
      <c r="B42" s="233" t="s">
        <v>76</v>
      </c>
      <c r="C42" s="233" t="s">
        <v>77</v>
      </c>
      <c r="D42" s="233">
        <v>4066</v>
      </c>
      <c r="E42" s="233">
        <v>2025</v>
      </c>
      <c r="F42" s="233" t="s">
        <v>275</v>
      </c>
      <c r="G42" s="233">
        <v>2</v>
      </c>
      <c r="H42" s="233">
        <v>6</v>
      </c>
      <c r="I42" s="233" t="s">
        <v>706</v>
      </c>
      <c r="J42" s="234">
        <v>1850457</v>
      </c>
      <c r="K42" s="235">
        <v>20032.73</v>
      </c>
      <c r="L42" s="236" t="s">
        <v>296</v>
      </c>
      <c r="M42" s="276" t="s">
        <v>302</v>
      </c>
      <c r="N42" s="277"/>
      <c r="O42" s="234">
        <v>431085</v>
      </c>
      <c r="P42" s="235">
        <v>6283.93</v>
      </c>
      <c r="Q42" s="236" t="s">
        <v>296</v>
      </c>
      <c r="R42" s="237" t="s">
        <v>302</v>
      </c>
      <c r="S42" s="234">
        <v>0</v>
      </c>
      <c r="T42" s="235">
        <v>0</v>
      </c>
      <c r="U42" s="236"/>
    </row>
    <row r="43" spans="1:21" s="66" customFormat="1" ht="22.8" x14ac:dyDescent="0.3">
      <c r="A43" s="238">
        <v>4066</v>
      </c>
      <c r="B43" s="238" t="s">
        <v>73</v>
      </c>
      <c r="C43" s="238" t="s">
        <v>75</v>
      </c>
      <c r="D43" s="238">
        <v>4066</v>
      </c>
      <c r="E43" s="238">
        <v>2025</v>
      </c>
      <c r="F43" s="238" t="s">
        <v>275</v>
      </c>
      <c r="G43" s="238">
        <v>2</v>
      </c>
      <c r="H43" s="238">
        <v>6</v>
      </c>
      <c r="I43" s="238" t="s">
        <v>706</v>
      </c>
      <c r="J43" s="239">
        <v>11179030</v>
      </c>
      <c r="K43" s="240">
        <v>118293.61</v>
      </c>
      <c r="L43" s="241" t="s">
        <v>296</v>
      </c>
      <c r="M43" s="278" t="s">
        <v>302</v>
      </c>
      <c r="N43" s="277"/>
      <c r="O43" s="239">
        <v>3184765</v>
      </c>
      <c r="P43" s="240">
        <v>36258.04</v>
      </c>
      <c r="Q43" s="241" t="s">
        <v>296</v>
      </c>
      <c r="R43" s="237" t="s">
        <v>302</v>
      </c>
      <c r="S43" s="239">
        <v>3017744</v>
      </c>
      <c r="T43" s="240">
        <v>0</v>
      </c>
      <c r="U43" s="241" t="s">
        <v>296</v>
      </c>
    </row>
    <row r="44" spans="1:21" s="66" customFormat="1" ht="22.8" x14ac:dyDescent="0.3">
      <c r="A44" s="233">
        <v>97</v>
      </c>
      <c r="B44" s="233" t="s">
        <v>159</v>
      </c>
      <c r="C44" s="233" t="s">
        <v>83</v>
      </c>
      <c r="D44" s="233">
        <v>6755</v>
      </c>
      <c r="E44" s="233">
        <v>2025</v>
      </c>
      <c r="F44" s="233" t="s">
        <v>275</v>
      </c>
      <c r="G44" s="233">
        <v>2</v>
      </c>
      <c r="H44" s="233">
        <v>6</v>
      </c>
      <c r="I44" s="233" t="s">
        <v>706</v>
      </c>
      <c r="J44" s="234">
        <v>847677</v>
      </c>
      <c r="K44" s="235">
        <v>8271</v>
      </c>
      <c r="L44" s="236"/>
      <c r="M44" s="276"/>
      <c r="N44" s="277"/>
      <c r="O44" s="234">
        <v>9706310</v>
      </c>
      <c r="P44" s="235">
        <v>9009</v>
      </c>
      <c r="Q44" s="236"/>
      <c r="R44" s="237"/>
      <c r="S44" s="234">
        <v>0</v>
      </c>
      <c r="T44" s="235">
        <v>0</v>
      </c>
      <c r="U44" s="236"/>
    </row>
    <row r="45" spans="1:21" s="66" customFormat="1" ht="22.8" x14ac:dyDescent="0.3">
      <c r="A45" s="238">
        <v>9784</v>
      </c>
      <c r="B45" s="238" t="s">
        <v>202</v>
      </c>
      <c r="C45" s="238" t="s">
        <v>83</v>
      </c>
      <c r="D45" s="238">
        <v>6755</v>
      </c>
      <c r="E45" s="238">
        <v>2025</v>
      </c>
      <c r="F45" s="238" t="s">
        <v>275</v>
      </c>
      <c r="G45" s="238">
        <v>2</v>
      </c>
      <c r="H45" s="238">
        <v>6</v>
      </c>
      <c r="I45" s="238" t="s">
        <v>706</v>
      </c>
      <c r="J45" s="239">
        <v>0</v>
      </c>
      <c r="K45" s="240">
        <v>0</v>
      </c>
      <c r="L45" s="241"/>
      <c r="M45" s="278"/>
      <c r="N45" s="277"/>
      <c r="O45" s="239">
        <v>399588.74</v>
      </c>
      <c r="P45" s="240">
        <v>1117.92</v>
      </c>
      <c r="Q45" s="241"/>
      <c r="R45" s="237"/>
      <c r="S45" s="239">
        <v>0</v>
      </c>
      <c r="T45" s="240">
        <v>0</v>
      </c>
      <c r="U45" s="241"/>
    </row>
    <row r="46" spans="1:21" s="66" customFormat="1" ht="22.8" x14ac:dyDescent="0.3">
      <c r="A46" s="233">
        <v>14496</v>
      </c>
      <c r="B46" s="233" t="s">
        <v>199</v>
      </c>
      <c r="C46" s="233" t="s">
        <v>77</v>
      </c>
      <c r="D46" s="233">
        <v>6755</v>
      </c>
      <c r="E46" s="233">
        <v>2025</v>
      </c>
      <c r="F46" s="233" t="s">
        <v>275</v>
      </c>
      <c r="G46" s="233">
        <v>2</v>
      </c>
      <c r="H46" s="233">
        <v>6</v>
      </c>
      <c r="I46" s="233" t="s">
        <v>706</v>
      </c>
      <c r="J46" s="234">
        <v>5017248.68</v>
      </c>
      <c r="K46" s="235">
        <v>45800.75</v>
      </c>
      <c r="L46" s="236"/>
      <c r="M46" s="276"/>
      <c r="N46" s="277"/>
      <c r="O46" s="234">
        <v>2303445.13</v>
      </c>
      <c r="P46" s="235">
        <v>22088</v>
      </c>
      <c r="Q46" s="236"/>
      <c r="R46" s="237"/>
      <c r="S46" s="234">
        <v>0</v>
      </c>
      <c r="T46" s="235">
        <v>0</v>
      </c>
      <c r="U46" s="236"/>
    </row>
    <row r="47" spans="1:21" s="66" customFormat="1" ht="22.8" x14ac:dyDescent="0.3">
      <c r="A47" s="238">
        <v>133</v>
      </c>
      <c r="B47" s="238" t="s">
        <v>200</v>
      </c>
      <c r="C47" s="238" t="s">
        <v>77</v>
      </c>
      <c r="D47" s="238">
        <v>6755</v>
      </c>
      <c r="E47" s="238">
        <v>2025</v>
      </c>
      <c r="F47" s="238" t="s">
        <v>275</v>
      </c>
      <c r="G47" s="238">
        <v>2</v>
      </c>
      <c r="H47" s="238">
        <v>6</v>
      </c>
      <c r="I47" s="238" t="s">
        <v>706</v>
      </c>
      <c r="J47" s="239">
        <v>2931274.48</v>
      </c>
      <c r="K47" s="240">
        <v>26763.75</v>
      </c>
      <c r="L47" s="241"/>
      <c r="M47" s="278"/>
      <c r="N47" s="277"/>
      <c r="O47" s="239">
        <v>1271825.6299999999</v>
      </c>
      <c r="P47" s="240">
        <v>17913.25</v>
      </c>
      <c r="Q47" s="241"/>
      <c r="R47" s="237"/>
      <c r="S47" s="239">
        <v>0</v>
      </c>
      <c r="T47" s="240">
        <v>0</v>
      </c>
      <c r="U47" s="241"/>
    </row>
    <row r="48" spans="1:21" s="66" customFormat="1" ht="22.8" x14ac:dyDescent="0.3">
      <c r="A48" s="233">
        <v>68</v>
      </c>
      <c r="B48" s="233" t="s">
        <v>198</v>
      </c>
      <c r="C48" s="233" t="s">
        <v>77</v>
      </c>
      <c r="D48" s="233">
        <v>6755</v>
      </c>
      <c r="E48" s="233">
        <v>2025</v>
      </c>
      <c r="F48" s="233" t="s">
        <v>275</v>
      </c>
      <c r="G48" s="233">
        <v>2</v>
      </c>
      <c r="H48" s="233">
        <v>6</v>
      </c>
      <c r="I48" s="233" t="s">
        <v>706</v>
      </c>
      <c r="J48" s="234">
        <v>1651464.22</v>
      </c>
      <c r="K48" s="235">
        <v>17860.849999999999</v>
      </c>
      <c r="L48" s="236"/>
      <c r="M48" s="276"/>
      <c r="N48" s="277"/>
      <c r="O48" s="234">
        <v>676620.62</v>
      </c>
      <c r="P48" s="235">
        <v>7076.59</v>
      </c>
      <c r="Q48" s="236"/>
      <c r="R48" s="237"/>
      <c r="S48" s="234">
        <v>0</v>
      </c>
      <c r="T48" s="235">
        <v>0</v>
      </c>
      <c r="U48" s="236"/>
    </row>
    <row r="49" spans="1:21" s="66" customFormat="1" ht="22.8" x14ac:dyDescent="0.3">
      <c r="A49" s="238">
        <v>6755</v>
      </c>
      <c r="B49" s="238" t="s">
        <v>197</v>
      </c>
      <c r="C49" s="238" t="s">
        <v>75</v>
      </c>
      <c r="D49" s="238">
        <v>6755</v>
      </c>
      <c r="E49" s="238">
        <v>2025</v>
      </c>
      <c r="F49" s="238" t="s">
        <v>275</v>
      </c>
      <c r="G49" s="238">
        <v>2</v>
      </c>
      <c r="H49" s="238">
        <v>6</v>
      </c>
      <c r="I49" s="238" t="s">
        <v>706</v>
      </c>
      <c r="J49" s="239">
        <v>92804</v>
      </c>
      <c r="K49" s="240">
        <v>1131.82</v>
      </c>
      <c r="L49" s="241"/>
      <c r="M49" s="278"/>
      <c r="N49" s="277"/>
      <c r="O49" s="239">
        <v>597754</v>
      </c>
      <c r="P49" s="240">
        <v>9818.25</v>
      </c>
      <c r="Q49" s="241"/>
      <c r="R49" s="237"/>
      <c r="S49" s="239">
        <v>0</v>
      </c>
      <c r="T49" s="240">
        <v>0</v>
      </c>
      <c r="U49" s="241"/>
    </row>
    <row r="50" spans="1:21" s="66" customFormat="1" ht="22.8" x14ac:dyDescent="0.3">
      <c r="A50" s="233">
        <v>3115</v>
      </c>
      <c r="B50" s="233" t="s">
        <v>201</v>
      </c>
      <c r="C50" s="233" t="s">
        <v>77</v>
      </c>
      <c r="D50" s="233">
        <v>6755</v>
      </c>
      <c r="E50" s="233">
        <v>2025</v>
      </c>
      <c r="F50" s="233" t="s">
        <v>275</v>
      </c>
      <c r="G50" s="233">
        <v>2</v>
      </c>
      <c r="H50" s="233">
        <v>6</v>
      </c>
      <c r="I50" s="233" t="s">
        <v>706</v>
      </c>
      <c r="J50" s="234">
        <v>21885118</v>
      </c>
      <c r="K50" s="235">
        <v>204522.5</v>
      </c>
      <c r="L50" s="236"/>
      <c r="M50" s="276"/>
      <c r="N50" s="277"/>
      <c r="O50" s="234">
        <v>11754763.289999999</v>
      </c>
      <c r="P50" s="235">
        <v>169271.37</v>
      </c>
      <c r="Q50" s="236"/>
      <c r="R50" s="237"/>
      <c r="S50" s="234">
        <v>0</v>
      </c>
      <c r="T50" s="235">
        <v>0</v>
      </c>
      <c r="U50" s="236"/>
    </row>
    <row r="51" spans="1:21" s="66" customFormat="1" ht="22.8" x14ac:dyDescent="0.3">
      <c r="A51" s="238">
        <v>9991</v>
      </c>
      <c r="B51" s="238" t="s">
        <v>162</v>
      </c>
      <c r="C51" s="238" t="s">
        <v>75</v>
      </c>
      <c r="D51" s="238">
        <v>9991</v>
      </c>
      <c r="E51" s="238">
        <v>2025</v>
      </c>
      <c r="F51" s="238" t="s">
        <v>275</v>
      </c>
      <c r="G51" s="238">
        <v>2</v>
      </c>
      <c r="H51" s="238">
        <v>6</v>
      </c>
      <c r="I51" s="238" t="s">
        <v>706</v>
      </c>
      <c r="J51" s="239">
        <v>14433644</v>
      </c>
      <c r="K51" s="240">
        <v>140773.776476895</v>
      </c>
      <c r="L51" s="241" t="s">
        <v>296</v>
      </c>
      <c r="M51" s="278" t="s">
        <v>304</v>
      </c>
      <c r="N51" s="277"/>
      <c r="O51" s="239">
        <v>1775419</v>
      </c>
      <c r="P51" s="240">
        <v>16916.011345680399</v>
      </c>
      <c r="Q51" s="241" t="s">
        <v>296</v>
      </c>
      <c r="R51" s="237" t="s">
        <v>304</v>
      </c>
      <c r="S51" s="239">
        <v>26415411</v>
      </c>
      <c r="T51" s="240">
        <v>115711.27</v>
      </c>
      <c r="U51" s="241" t="s">
        <v>298</v>
      </c>
    </row>
    <row r="52" spans="1:21" s="66" customFormat="1" ht="22.8" x14ac:dyDescent="0.3">
      <c r="A52" s="233">
        <v>25</v>
      </c>
      <c r="B52" s="233" t="s">
        <v>164</v>
      </c>
      <c r="C52" s="233" t="s">
        <v>77</v>
      </c>
      <c r="D52" s="233">
        <v>9991</v>
      </c>
      <c r="E52" s="233">
        <v>2025</v>
      </c>
      <c r="F52" s="233" t="s">
        <v>275</v>
      </c>
      <c r="G52" s="233">
        <v>2</v>
      </c>
      <c r="H52" s="233">
        <v>6</v>
      </c>
      <c r="I52" s="233" t="s">
        <v>706</v>
      </c>
      <c r="J52" s="234">
        <v>14021401</v>
      </c>
      <c r="K52" s="235">
        <v>136441.776476895</v>
      </c>
      <c r="L52" s="236" t="s">
        <v>296</v>
      </c>
      <c r="M52" s="276" t="s">
        <v>304</v>
      </c>
      <c r="N52" s="277"/>
      <c r="O52" s="234">
        <v>1775419</v>
      </c>
      <c r="P52" s="235">
        <v>16916.011345680399</v>
      </c>
      <c r="Q52" s="236" t="s">
        <v>296</v>
      </c>
      <c r="R52" s="237" t="s">
        <v>304</v>
      </c>
      <c r="S52" s="234">
        <v>21205038</v>
      </c>
      <c r="T52" s="235">
        <v>98628.08</v>
      </c>
      <c r="U52" s="236" t="s">
        <v>298</v>
      </c>
    </row>
    <row r="53" spans="1:21" s="66" customFormat="1" ht="22.8" x14ac:dyDescent="0.3">
      <c r="A53" s="238">
        <v>10327</v>
      </c>
      <c r="B53" s="238" t="s">
        <v>165</v>
      </c>
      <c r="C53" s="238" t="s">
        <v>83</v>
      </c>
      <c r="D53" s="238">
        <v>9991</v>
      </c>
      <c r="E53" s="238">
        <v>2025</v>
      </c>
      <c r="F53" s="238" t="s">
        <v>275</v>
      </c>
      <c r="G53" s="238">
        <v>2</v>
      </c>
      <c r="H53" s="238">
        <v>6</v>
      </c>
      <c r="I53" s="238" t="s">
        <v>706</v>
      </c>
      <c r="J53" s="239">
        <v>412243</v>
      </c>
      <c r="K53" s="240">
        <v>4332</v>
      </c>
      <c r="L53" s="241" t="s">
        <v>296</v>
      </c>
      <c r="M53" s="278" t="s">
        <v>304</v>
      </c>
      <c r="N53" s="277"/>
      <c r="O53" s="239">
        <v>0</v>
      </c>
      <c r="P53" s="240">
        <v>0</v>
      </c>
      <c r="Q53" s="241" t="s">
        <v>296</v>
      </c>
      <c r="R53" s="237" t="s">
        <v>304</v>
      </c>
      <c r="S53" s="239">
        <v>5210373</v>
      </c>
      <c r="T53" s="240">
        <v>17083.189999999999</v>
      </c>
      <c r="U53" s="241" t="s">
        <v>298</v>
      </c>
    </row>
    <row r="54" spans="1:21" s="66" customFormat="1" ht="22.8" x14ac:dyDescent="0.3">
      <c r="A54" s="233">
        <v>122</v>
      </c>
      <c r="B54" s="233" t="s">
        <v>168</v>
      </c>
      <c r="C54" s="233" t="s">
        <v>77</v>
      </c>
      <c r="D54" s="233">
        <v>12759</v>
      </c>
      <c r="E54" s="233">
        <v>2025</v>
      </c>
      <c r="F54" s="233" t="s">
        <v>275</v>
      </c>
      <c r="G54" s="233">
        <v>2</v>
      </c>
      <c r="H54" s="233">
        <v>6</v>
      </c>
      <c r="I54" s="233" t="s">
        <v>706</v>
      </c>
      <c r="J54" s="234">
        <v>10665503.66</v>
      </c>
      <c r="K54" s="235">
        <v>83047.59</v>
      </c>
      <c r="L54" s="236" t="s">
        <v>296</v>
      </c>
      <c r="M54" s="276" t="s">
        <v>306</v>
      </c>
      <c r="N54" s="277"/>
      <c r="O54" s="234">
        <v>2836143.68</v>
      </c>
      <c r="P54" s="235">
        <v>56436.600488758602</v>
      </c>
      <c r="Q54" s="236" t="s">
        <v>296</v>
      </c>
      <c r="R54" s="237" t="s">
        <v>306</v>
      </c>
      <c r="S54" s="234">
        <v>2528540.79</v>
      </c>
      <c r="T54" s="235">
        <v>8368.75</v>
      </c>
      <c r="U54" s="236" t="s">
        <v>296</v>
      </c>
    </row>
    <row r="55" spans="1:21" s="66" customFormat="1" ht="34.200000000000003" x14ac:dyDescent="0.3">
      <c r="A55" s="238">
        <v>12759</v>
      </c>
      <c r="B55" s="238" t="s">
        <v>166</v>
      </c>
      <c r="C55" s="238" t="s">
        <v>75</v>
      </c>
      <c r="D55" s="238">
        <v>12759</v>
      </c>
      <c r="E55" s="238">
        <v>2025</v>
      </c>
      <c r="F55" s="238" t="s">
        <v>275</v>
      </c>
      <c r="G55" s="238">
        <v>2</v>
      </c>
      <c r="H55" s="238">
        <v>6</v>
      </c>
      <c r="I55" s="238" t="s">
        <v>706</v>
      </c>
      <c r="J55" s="239">
        <v>10701563.279999999</v>
      </c>
      <c r="K55" s="240">
        <v>83432.34</v>
      </c>
      <c r="L55" s="241" t="s">
        <v>296</v>
      </c>
      <c r="M55" s="278" t="s">
        <v>306</v>
      </c>
      <c r="N55" s="277"/>
      <c r="O55" s="239">
        <v>2836143.68</v>
      </c>
      <c r="P55" s="240">
        <v>56436.600488758602</v>
      </c>
      <c r="Q55" s="241" t="s">
        <v>296</v>
      </c>
      <c r="R55" s="237" t="s">
        <v>306</v>
      </c>
      <c r="S55" s="239">
        <v>2528540.79</v>
      </c>
      <c r="T55" s="240">
        <v>8368.75</v>
      </c>
      <c r="U55" s="241" t="s">
        <v>296</v>
      </c>
    </row>
    <row r="56" spans="1:21" s="66" customFormat="1" ht="22.8" x14ac:dyDescent="0.3">
      <c r="A56" s="233">
        <v>13120</v>
      </c>
      <c r="B56" s="233" t="s">
        <v>169</v>
      </c>
      <c r="C56" s="233" t="s">
        <v>83</v>
      </c>
      <c r="D56" s="233">
        <v>12759</v>
      </c>
      <c r="E56" s="233">
        <v>2025</v>
      </c>
      <c r="F56" s="233" t="s">
        <v>275</v>
      </c>
      <c r="G56" s="233">
        <v>2</v>
      </c>
      <c r="H56" s="233">
        <v>6</v>
      </c>
      <c r="I56" s="233" t="s">
        <v>706</v>
      </c>
      <c r="J56" s="234">
        <v>36059.620000000003</v>
      </c>
      <c r="K56" s="235">
        <v>384.75</v>
      </c>
      <c r="L56" s="236" t="s">
        <v>296</v>
      </c>
      <c r="M56" s="276" t="s">
        <v>306</v>
      </c>
      <c r="N56" s="277"/>
      <c r="O56" s="234">
        <v>0</v>
      </c>
      <c r="P56" s="235">
        <v>0</v>
      </c>
      <c r="Q56" s="236"/>
      <c r="R56" s="237"/>
      <c r="S56" s="234">
        <v>0</v>
      </c>
      <c r="T56" s="235">
        <v>0</v>
      </c>
      <c r="U56" s="236"/>
    </row>
    <row r="57" spans="1:21" s="66" customFormat="1" ht="22.8" x14ac:dyDescent="0.3">
      <c r="A57" s="238">
        <v>12767</v>
      </c>
      <c r="B57" s="238" t="s">
        <v>203</v>
      </c>
      <c r="C57" s="238" t="s">
        <v>75</v>
      </c>
      <c r="D57" s="238">
        <v>12767</v>
      </c>
      <c r="E57" s="238">
        <v>2025</v>
      </c>
      <c r="F57" s="238" t="s">
        <v>275</v>
      </c>
      <c r="G57" s="238">
        <v>2</v>
      </c>
      <c r="H57" s="238">
        <v>6</v>
      </c>
      <c r="I57" s="238" t="s">
        <v>706</v>
      </c>
      <c r="J57" s="239">
        <v>0</v>
      </c>
      <c r="K57" s="240"/>
      <c r="L57" s="241"/>
      <c r="M57" s="278"/>
      <c r="N57" s="277"/>
      <c r="O57" s="239">
        <v>0</v>
      </c>
      <c r="P57" s="240">
        <v>0</v>
      </c>
      <c r="Q57" s="241"/>
      <c r="R57" s="237"/>
      <c r="S57" s="239">
        <v>0</v>
      </c>
      <c r="T57" s="240">
        <v>0</v>
      </c>
      <c r="U57" s="241"/>
    </row>
    <row r="58" spans="1:21" s="66" customFormat="1" ht="22.8" x14ac:dyDescent="0.3">
      <c r="A58" s="233">
        <v>77</v>
      </c>
      <c r="B58" s="233" t="s">
        <v>205</v>
      </c>
      <c r="C58" s="233" t="s">
        <v>77</v>
      </c>
      <c r="D58" s="233">
        <v>12767</v>
      </c>
      <c r="E58" s="233">
        <v>2025</v>
      </c>
      <c r="F58" s="233" t="s">
        <v>275</v>
      </c>
      <c r="G58" s="233">
        <v>2</v>
      </c>
      <c r="H58" s="233">
        <v>6</v>
      </c>
      <c r="I58" s="233" t="s">
        <v>706</v>
      </c>
      <c r="J58" s="234">
        <v>306611</v>
      </c>
      <c r="K58" s="235">
        <v>3329.8</v>
      </c>
      <c r="L58" s="236" t="s">
        <v>296</v>
      </c>
      <c r="M58" s="276" t="s">
        <v>307</v>
      </c>
      <c r="N58" s="277"/>
      <c r="O58" s="234">
        <v>25363</v>
      </c>
      <c r="P58" s="235">
        <v>775.81</v>
      </c>
      <c r="Q58" s="236" t="s">
        <v>296</v>
      </c>
      <c r="R58" s="237" t="s">
        <v>307</v>
      </c>
      <c r="S58" s="234">
        <v>326019</v>
      </c>
      <c r="T58" s="235">
        <v>1206.8599999999999</v>
      </c>
      <c r="U58" s="236" t="s">
        <v>296</v>
      </c>
    </row>
    <row r="59" spans="1:21" s="66" customFormat="1" ht="22.8" x14ac:dyDescent="0.3">
      <c r="A59" s="238">
        <v>14428</v>
      </c>
      <c r="B59" s="238" t="s">
        <v>206</v>
      </c>
      <c r="C59" s="238" t="s">
        <v>83</v>
      </c>
      <c r="D59" s="238">
        <v>12767</v>
      </c>
      <c r="E59" s="238">
        <v>2025</v>
      </c>
      <c r="F59" s="238" t="s">
        <v>275</v>
      </c>
      <c r="G59" s="238">
        <v>2</v>
      </c>
      <c r="H59" s="238">
        <v>6</v>
      </c>
      <c r="I59" s="238" t="s">
        <v>706</v>
      </c>
      <c r="J59" s="239">
        <v>0</v>
      </c>
      <c r="K59" s="240"/>
      <c r="L59" s="241"/>
      <c r="M59" s="278"/>
      <c r="N59" s="277"/>
      <c r="O59" s="239">
        <v>0</v>
      </c>
      <c r="P59" s="240">
        <v>0</v>
      </c>
      <c r="Q59" s="241"/>
      <c r="R59" s="237"/>
      <c r="S59" s="239">
        <v>0</v>
      </c>
      <c r="T59" s="240">
        <v>0</v>
      </c>
      <c r="U59" s="241"/>
    </row>
    <row r="60" spans="1:21" s="66" customFormat="1" ht="34.200000000000003" x14ac:dyDescent="0.3">
      <c r="A60" s="233">
        <v>12773</v>
      </c>
      <c r="B60" s="233" t="s">
        <v>179</v>
      </c>
      <c r="C60" s="233" t="s">
        <v>75</v>
      </c>
      <c r="D60" s="233">
        <v>12773</v>
      </c>
      <c r="E60" s="233">
        <v>2025</v>
      </c>
      <c r="F60" s="233" t="s">
        <v>275</v>
      </c>
      <c r="G60" s="233">
        <v>2</v>
      </c>
      <c r="H60" s="233">
        <v>6</v>
      </c>
      <c r="I60" s="233" t="s">
        <v>706</v>
      </c>
      <c r="J60" s="234">
        <v>373533.25</v>
      </c>
      <c r="K60" s="235">
        <v>4258.76</v>
      </c>
      <c r="L60" s="236"/>
      <c r="M60" s="276"/>
      <c r="N60" s="277"/>
      <c r="O60" s="234">
        <v>134067.18</v>
      </c>
      <c r="P60" s="235">
        <v>1684.67</v>
      </c>
      <c r="Q60" s="236"/>
      <c r="R60" s="237"/>
      <c r="S60" s="234">
        <v>209248.5</v>
      </c>
      <c r="T60" s="235">
        <v>521.5</v>
      </c>
      <c r="U60" s="236"/>
    </row>
    <row r="61" spans="1:21" s="66" customFormat="1" ht="22.8" x14ac:dyDescent="0.3">
      <c r="A61" s="238">
        <v>11397</v>
      </c>
      <c r="B61" s="238" t="s">
        <v>182</v>
      </c>
      <c r="C61" s="238" t="s">
        <v>83</v>
      </c>
      <c r="D61" s="238">
        <v>12773</v>
      </c>
      <c r="E61" s="238">
        <v>2025</v>
      </c>
      <c r="F61" s="238" t="s">
        <v>275</v>
      </c>
      <c r="G61" s="238">
        <v>2</v>
      </c>
      <c r="H61" s="238">
        <v>6</v>
      </c>
      <c r="I61" s="238" t="s">
        <v>706</v>
      </c>
      <c r="J61" s="239">
        <v>0</v>
      </c>
      <c r="K61" s="240"/>
      <c r="L61" s="241"/>
      <c r="M61" s="278"/>
      <c r="N61" s="277"/>
      <c r="O61" s="239">
        <v>0</v>
      </c>
      <c r="P61" s="240">
        <v>0</v>
      </c>
      <c r="Q61" s="241"/>
      <c r="R61" s="237"/>
      <c r="S61" s="239">
        <v>0</v>
      </c>
      <c r="T61" s="240">
        <v>0</v>
      </c>
      <c r="U61" s="241"/>
    </row>
    <row r="62" spans="1:21" s="66" customFormat="1" ht="22.8" x14ac:dyDescent="0.3">
      <c r="A62" s="233">
        <v>129</v>
      </c>
      <c r="B62" s="233" t="s">
        <v>181</v>
      </c>
      <c r="C62" s="233" t="s">
        <v>77</v>
      </c>
      <c r="D62" s="233">
        <v>12773</v>
      </c>
      <c r="E62" s="233">
        <v>2025</v>
      </c>
      <c r="F62" s="233" t="s">
        <v>275</v>
      </c>
      <c r="G62" s="233">
        <v>2</v>
      </c>
      <c r="H62" s="233">
        <v>6</v>
      </c>
      <c r="I62" s="233" t="s">
        <v>706</v>
      </c>
      <c r="J62" s="234">
        <v>373533.25</v>
      </c>
      <c r="K62" s="235">
        <v>4258.76</v>
      </c>
      <c r="L62" s="236"/>
      <c r="M62" s="276"/>
      <c r="N62" s="277"/>
      <c r="O62" s="234">
        <v>134067.18</v>
      </c>
      <c r="P62" s="235">
        <v>1684.67</v>
      </c>
      <c r="Q62" s="236"/>
      <c r="R62" s="237"/>
      <c r="S62" s="234">
        <v>209248.5</v>
      </c>
      <c r="T62" s="235">
        <v>521.5</v>
      </c>
      <c r="U62" s="236"/>
    </row>
    <row r="63" spans="1:21" s="66" customFormat="1" ht="22.8" x14ac:dyDescent="0.3">
      <c r="A63" s="238">
        <v>57</v>
      </c>
      <c r="B63" s="238" t="s">
        <v>132</v>
      </c>
      <c r="C63" s="238" t="s">
        <v>77</v>
      </c>
      <c r="D63" s="238">
        <v>12776</v>
      </c>
      <c r="E63" s="238">
        <v>2025</v>
      </c>
      <c r="F63" s="238" t="s">
        <v>275</v>
      </c>
      <c r="G63" s="238">
        <v>2</v>
      </c>
      <c r="H63" s="238">
        <v>6</v>
      </c>
      <c r="I63" s="238" t="s">
        <v>706</v>
      </c>
      <c r="J63" s="239">
        <v>3132187</v>
      </c>
      <c r="K63" s="240">
        <v>23924</v>
      </c>
      <c r="L63" s="241" t="s">
        <v>298</v>
      </c>
      <c r="M63" s="278" t="s">
        <v>310</v>
      </c>
      <c r="N63" s="277"/>
      <c r="O63" s="239">
        <v>1100013</v>
      </c>
      <c r="P63" s="240">
        <v>17292</v>
      </c>
      <c r="Q63" s="241" t="s">
        <v>298</v>
      </c>
      <c r="R63" s="237" t="s">
        <v>310</v>
      </c>
      <c r="S63" s="239">
        <v>0</v>
      </c>
      <c r="T63" s="240">
        <v>0</v>
      </c>
      <c r="U63" s="241"/>
    </row>
    <row r="64" spans="1:21" s="66" customFormat="1" ht="22.8" x14ac:dyDescent="0.3">
      <c r="A64" s="233">
        <v>12776</v>
      </c>
      <c r="B64" s="233" t="s">
        <v>130</v>
      </c>
      <c r="C64" s="233" t="s">
        <v>75</v>
      </c>
      <c r="D64" s="233">
        <v>12776</v>
      </c>
      <c r="E64" s="233">
        <v>2025</v>
      </c>
      <c r="F64" s="233" t="s">
        <v>275</v>
      </c>
      <c r="G64" s="233">
        <v>2</v>
      </c>
      <c r="H64" s="233">
        <v>6</v>
      </c>
      <c r="I64" s="233" t="s">
        <v>706</v>
      </c>
      <c r="J64" s="234">
        <v>0</v>
      </c>
      <c r="K64" s="235"/>
      <c r="L64" s="236"/>
      <c r="M64" s="276"/>
      <c r="N64" s="277"/>
      <c r="O64" s="234">
        <v>0</v>
      </c>
      <c r="P64" s="235">
        <v>0</v>
      </c>
      <c r="Q64" s="236"/>
      <c r="R64" s="237"/>
      <c r="S64" s="234">
        <v>0</v>
      </c>
      <c r="T64" s="235">
        <v>0</v>
      </c>
      <c r="U64" s="236"/>
    </row>
    <row r="65" spans="1:21" s="66" customFormat="1" ht="22.8" x14ac:dyDescent="0.3">
      <c r="A65" s="238">
        <v>12807</v>
      </c>
      <c r="B65" s="238" t="s">
        <v>133</v>
      </c>
      <c r="C65" s="238" t="s">
        <v>75</v>
      </c>
      <c r="D65" s="238">
        <v>12807</v>
      </c>
      <c r="E65" s="238">
        <v>2025</v>
      </c>
      <c r="F65" s="238" t="s">
        <v>275</v>
      </c>
      <c r="G65" s="238">
        <v>2</v>
      </c>
      <c r="H65" s="238">
        <v>6</v>
      </c>
      <c r="I65" s="238" t="s">
        <v>706</v>
      </c>
      <c r="J65" s="239">
        <v>29695</v>
      </c>
      <c r="K65" s="240">
        <v>347.5</v>
      </c>
      <c r="L65" s="241" t="s">
        <v>296</v>
      </c>
      <c r="M65" s="278" t="s">
        <v>311</v>
      </c>
      <c r="N65" s="277"/>
      <c r="O65" s="239">
        <v>149616.75</v>
      </c>
      <c r="P65" s="240">
        <v>1804.5</v>
      </c>
      <c r="Q65" s="241" t="s">
        <v>296</v>
      </c>
      <c r="R65" s="237" t="s">
        <v>311</v>
      </c>
      <c r="S65" s="239">
        <v>2007786.93</v>
      </c>
      <c r="T65" s="240">
        <v>1706.75</v>
      </c>
      <c r="U65" s="241" t="s">
        <v>296</v>
      </c>
    </row>
    <row r="66" spans="1:21" s="66" customFormat="1" ht="22.8" x14ac:dyDescent="0.3">
      <c r="A66" s="233">
        <v>10976</v>
      </c>
      <c r="B66" s="233" t="s">
        <v>137</v>
      </c>
      <c r="C66" s="233" t="s">
        <v>83</v>
      </c>
      <c r="D66" s="233">
        <v>12807</v>
      </c>
      <c r="E66" s="233">
        <v>2025</v>
      </c>
      <c r="F66" s="233" t="s">
        <v>275</v>
      </c>
      <c r="G66" s="233">
        <v>2</v>
      </c>
      <c r="H66" s="233">
        <v>6</v>
      </c>
      <c r="I66" s="233" t="s">
        <v>706</v>
      </c>
      <c r="J66" s="234">
        <v>0</v>
      </c>
      <c r="K66" s="235"/>
      <c r="L66" s="236"/>
      <c r="M66" s="276"/>
      <c r="N66" s="277"/>
      <c r="O66" s="234">
        <v>0</v>
      </c>
      <c r="P66" s="235">
        <v>0</v>
      </c>
      <c r="Q66" s="236"/>
      <c r="R66" s="237"/>
      <c r="S66" s="234">
        <v>0</v>
      </c>
      <c r="T66" s="235">
        <v>0</v>
      </c>
      <c r="U66" s="236"/>
    </row>
    <row r="67" spans="1:21" s="66" customFormat="1" ht="22.8" x14ac:dyDescent="0.3">
      <c r="A67" s="238">
        <v>73</v>
      </c>
      <c r="B67" s="238" t="s">
        <v>136</v>
      </c>
      <c r="C67" s="238" t="s">
        <v>77</v>
      </c>
      <c r="D67" s="238">
        <v>12807</v>
      </c>
      <c r="E67" s="238">
        <v>2025</v>
      </c>
      <c r="F67" s="238" t="s">
        <v>275</v>
      </c>
      <c r="G67" s="238">
        <v>2</v>
      </c>
      <c r="H67" s="238">
        <v>6</v>
      </c>
      <c r="I67" s="238" t="s">
        <v>706</v>
      </c>
      <c r="J67" s="239">
        <v>29695</v>
      </c>
      <c r="K67" s="240">
        <v>347.5</v>
      </c>
      <c r="L67" s="241" t="s">
        <v>296</v>
      </c>
      <c r="M67" s="278" t="s">
        <v>311</v>
      </c>
      <c r="N67" s="277"/>
      <c r="O67" s="239">
        <v>130824.25</v>
      </c>
      <c r="P67" s="240">
        <v>1555</v>
      </c>
      <c r="Q67" s="241" t="s">
        <v>296</v>
      </c>
      <c r="R67" s="237" t="s">
        <v>311</v>
      </c>
      <c r="S67" s="239">
        <v>1246468.17</v>
      </c>
      <c r="T67" s="240">
        <v>667</v>
      </c>
      <c r="U67" s="241"/>
    </row>
    <row r="68" spans="1:21" s="66" customFormat="1" ht="22.8" x14ac:dyDescent="0.3">
      <c r="A68" s="233">
        <v>2</v>
      </c>
      <c r="B68" s="233" t="s">
        <v>135</v>
      </c>
      <c r="C68" s="233" t="s">
        <v>77</v>
      </c>
      <c r="D68" s="233">
        <v>12807</v>
      </c>
      <c r="E68" s="233">
        <v>2025</v>
      </c>
      <c r="F68" s="233" t="s">
        <v>275</v>
      </c>
      <c r="G68" s="233">
        <v>2</v>
      </c>
      <c r="H68" s="233">
        <v>6</v>
      </c>
      <c r="I68" s="233" t="s">
        <v>706</v>
      </c>
      <c r="J68" s="234">
        <v>0</v>
      </c>
      <c r="K68" s="235"/>
      <c r="L68" s="236" t="s">
        <v>296</v>
      </c>
      <c r="M68" s="276" t="s">
        <v>311</v>
      </c>
      <c r="N68" s="277"/>
      <c r="O68" s="234">
        <v>18792.5</v>
      </c>
      <c r="P68" s="235">
        <v>249.5</v>
      </c>
      <c r="Q68" s="236" t="s">
        <v>296</v>
      </c>
      <c r="R68" s="237" t="s">
        <v>311</v>
      </c>
      <c r="S68" s="234">
        <v>761318.76</v>
      </c>
      <c r="T68" s="235">
        <v>1039.75</v>
      </c>
      <c r="U68" s="236" t="s">
        <v>296</v>
      </c>
    </row>
    <row r="69" spans="1:21" s="66" customFormat="1" ht="22.8" x14ac:dyDescent="0.3">
      <c r="A69" s="238">
        <v>13118</v>
      </c>
      <c r="B69" s="238" t="s">
        <v>140</v>
      </c>
      <c r="C69" s="238" t="s">
        <v>83</v>
      </c>
      <c r="D69" s="238">
        <v>13156</v>
      </c>
      <c r="E69" s="238">
        <v>2025</v>
      </c>
      <c r="F69" s="238" t="s">
        <v>275</v>
      </c>
      <c r="G69" s="238">
        <v>2</v>
      </c>
      <c r="H69" s="238">
        <v>6</v>
      </c>
      <c r="I69" s="238" t="s">
        <v>706</v>
      </c>
      <c r="J69" s="239">
        <v>0</v>
      </c>
      <c r="K69" s="240"/>
      <c r="L69" s="241"/>
      <c r="M69" s="278"/>
      <c r="N69" s="277"/>
      <c r="O69" s="239">
        <v>0</v>
      </c>
      <c r="P69" s="240">
        <v>0</v>
      </c>
      <c r="Q69" s="241"/>
      <c r="R69" s="237"/>
      <c r="S69" s="239">
        <v>531493.39</v>
      </c>
      <c r="T69" s="240">
        <v>0</v>
      </c>
      <c r="U69" s="241" t="s">
        <v>296</v>
      </c>
    </row>
    <row r="70" spans="1:21" s="66" customFormat="1" ht="22.8" x14ac:dyDescent="0.3">
      <c r="A70" s="233">
        <v>13156</v>
      </c>
      <c r="B70" s="233" t="s">
        <v>138</v>
      </c>
      <c r="C70" s="233" t="s">
        <v>75</v>
      </c>
      <c r="D70" s="233">
        <v>13156</v>
      </c>
      <c r="E70" s="233">
        <v>2025</v>
      </c>
      <c r="F70" s="233" t="s">
        <v>275</v>
      </c>
      <c r="G70" s="233">
        <v>2</v>
      </c>
      <c r="H70" s="233">
        <v>6</v>
      </c>
      <c r="I70" s="233" t="s">
        <v>706</v>
      </c>
      <c r="J70" s="234">
        <v>7728236.6600000001</v>
      </c>
      <c r="K70" s="235">
        <v>67757.5</v>
      </c>
      <c r="L70" s="236" t="s">
        <v>296</v>
      </c>
      <c r="M70" s="276" t="s">
        <v>632</v>
      </c>
      <c r="N70" s="277"/>
      <c r="O70" s="234">
        <v>2156385.2599999998</v>
      </c>
      <c r="P70" s="235">
        <v>23197.25</v>
      </c>
      <c r="Q70" s="236" t="s">
        <v>296</v>
      </c>
      <c r="R70" s="237" t="s">
        <v>632</v>
      </c>
      <c r="S70" s="234">
        <v>1885042.86</v>
      </c>
      <c r="T70" s="235">
        <v>0</v>
      </c>
      <c r="U70" s="236" t="s">
        <v>296</v>
      </c>
    </row>
    <row r="71" spans="1:21" s="66" customFormat="1" ht="22.8" x14ac:dyDescent="0.3">
      <c r="A71" s="238">
        <v>75</v>
      </c>
      <c r="B71" s="238" t="s">
        <v>176</v>
      </c>
      <c r="C71" s="238" t="s">
        <v>77</v>
      </c>
      <c r="D71" s="238">
        <v>13156</v>
      </c>
      <c r="E71" s="238">
        <v>2025</v>
      </c>
      <c r="F71" s="238" t="s">
        <v>275</v>
      </c>
      <c r="G71" s="238">
        <v>2</v>
      </c>
      <c r="H71" s="238">
        <v>6</v>
      </c>
      <c r="I71" s="238" t="s">
        <v>706</v>
      </c>
      <c r="J71" s="239">
        <v>2740463.99</v>
      </c>
      <c r="K71" s="240">
        <v>22126.25</v>
      </c>
      <c r="L71" s="241" t="s">
        <v>296</v>
      </c>
      <c r="M71" s="278" t="s">
        <v>632</v>
      </c>
      <c r="N71" s="277"/>
      <c r="O71" s="239">
        <v>576872.23</v>
      </c>
      <c r="P71" s="240">
        <v>5815.5</v>
      </c>
      <c r="Q71" s="241" t="s">
        <v>296</v>
      </c>
      <c r="R71" s="237" t="s">
        <v>632</v>
      </c>
      <c r="S71" s="239">
        <v>0</v>
      </c>
      <c r="T71" s="240">
        <v>0</v>
      </c>
      <c r="U71" s="241"/>
    </row>
    <row r="72" spans="1:21" s="66" customFormat="1" ht="22.8" x14ac:dyDescent="0.3">
      <c r="A72" s="233">
        <v>83</v>
      </c>
      <c r="B72" s="233" t="s">
        <v>139</v>
      </c>
      <c r="C72" s="233" t="s">
        <v>77</v>
      </c>
      <c r="D72" s="233">
        <v>13156</v>
      </c>
      <c r="E72" s="233">
        <v>2025</v>
      </c>
      <c r="F72" s="233" t="s">
        <v>275</v>
      </c>
      <c r="G72" s="233">
        <v>2</v>
      </c>
      <c r="H72" s="233">
        <v>6</v>
      </c>
      <c r="I72" s="233" t="s">
        <v>706</v>
      </c>
      <c r="J72" s="234">
        <v>4987772.67</v>
      </c>
      <c r="K72" s="235">
        <v>45631.25</v>
      </c>
      <c r="L72" s="236" t="s">
        <v>296</v>
      </c>
      <c r="M72" s="276" t="s">
        <v>632</v>
      </c>
      <c r="N72" s="277"/>
      <c r="O72" s="234">
        <v>1579513.03</v>
      </c>
      <c r="P72" s="235">
        <v>17381.75</v>
      </c>
      <c r="Q72" s="236" t="s">
        <v>296</v>
      </c>
      <c r="R72" s="237" t="s">
        <v>632</v>
      </c>
      <c r="S72" s="234">
        <v>1353549.47</v>
      </c>
      <c r="T72" s="235">
        <v>0</v>
      </c>
      <c r="U72" s="236" t="s">
        <v>296</v>
      </c>
    </row>
    <row r="73" spans="1:21" s="66" customFormat="1" ht="22.8" x14ac:dyDescent="0.3">
      <c r="A73" s="238">
        <v>6963</v>
      </c>
      <c r="B73" s="238" t="s">
        <v>614</v>
      </c>
      <c r="C73" s="238" t="s">
        <v>77</v>
      </c>
      <c r="D73" s="238">
        <v>13158</v>
      </c>
      <c r="E73" s="238">
        <v>2025</v>
      </c>
      <c r="F73" s="238" t="s">
        <v>630</v>
      </c>
      <c r="G73" s="238">
        <v>1</v>
      </c>
      <c r="H73" s="238">
        <v>3</v>
      </c>
      <c r="I73" s="238" t="s">
        <v>707</v>
      </c>
      <c r="J73" s="239">
        <v>82675</v>
      </c>
      <c r="K73" s="240">
        <v>787.25</v>
      </c>
      <c r="L73" s="241" t="s">
        <v>296</v>
      </c>
      <c r="M73" s="278" t="s">
        <v>308</v>
      </c>
      <c r="N73" s="277"/>
      <c r="O73" s="239">
        <v>0</v>
      </c>
      <c r="P73" s="240">
        <v>0</v>
      </c>
      <c r="Q73" s="241"/>
      <c r="R73" s="237"/>
      <c r="S73" s="239">
        <v>0</v>
      </c>
      <c r="T73" s="240">
        <v>0</v>
      </c>
      <c r="U73" s="241" t="s">
        <v>296</v>
      </c>
    </row>
    <row r="74" spans="1:21" s="66" customFormat="1" ht="22.8" x14ac:dyDescent="0.3">
      <c r="A74" s="233">
        <v>13158</v>
      </c>
      <c r="B74" s="233" t="s">
        <v>613</v>
      </c>
      <c r="C74" s="233" t="s">
        <v>75</v>
      </c>
      <c r="D74" s="233">
        <v>13158</v>
      </c>
      <c r="E74" s="233">
        <v>2025</v>
      </c>
      <c r="F74" s="233" t="s">
        <v>630</v>
      </c>
      <c r="G74" s="233">
        <v>1</v>
      </c>
      <c r="H74" s="233">
        <v>3</v>
      </c>
      <c r="I74" s="233" t="s">
        <v>707</v>
      </c>
      <c r="J74" s="234">
        <v>0</v>
      </c>
      <c r="K74" s="235"/>
      <c r="L74" s="236"/>
      <c r="M74" s="276"/>
      <c r="N74" s="277"/>
      <c r="O74" s="234">
        <v>0</v>
      </c>
      <c r="P74" s="235">
        <v>0</v>
      </c>
      <c r="Q74" s="236"/>
      <c r="R74" s="237"/>
      <c r="S74" s="234">
        <v>0</v>
      </c>
      <c r="T74" s="235">
        <v>0</v>
      </c>
      <c r="U74" s="236"/>
    </row>
    <row r="75" spans="1:21" s="66" customFormat="1" ht="22.8" x14ac:dyDescent="0.3">
      <c r="A75" s="238">
        <v>11718</v>
      </c>
      <c r="B75" s="238" t="s">
        <v>690</v>
      </c>
      <c r="C75" s="238" t="s">
        <v>77</v>
      </c>
      <c r="D75" s="238">
        <v>13158</v>
      </c>
      <c r="E75" s="238">
        <v>2025</v>
      </c>
      <c r="F75" s="238" t="s">
        <v>630</v>
      </c>
      <c r="G75" s="238">
        <v>1</v>
      </c>
      <c r="H75" s="238">
        <v>3</v>
      </c>
      <c r="I75" s="238" t="s">
        <v>707</v>
      </c>
      <c r="J75" s="239">
        <v>0</v>
      </c>
      <c r="K75" s="240">
        <v>0</v>
      </c>
      <c r="L75" s="241"/>
      <c r="M75" s="278"/>
      <c r="N75" s="277"/>
      <c r="O75" s="239">
        <v>0</v>
      </c>
      <c r="P75" s="240">
        <v>0</v>
      </c>
      <c r="Q75" s="241"/>
      <c r="R75" s="237"/>
      <c r="S75" s="239">
        <v>0</v>
      </c>
      <c r="T75" s="240">
        <v>0</v>
      </c>
      <c r="U75" s="241"/>
    </row>
    <row r="76" spans="1:21" s="66" customFormat="1" ht="22.8" x14ac:dyDescent="0.3">
      <c r="A76" s="233">
        <v>3108</v>
      </c>
      <c r="B76" s="233" t="s">
        <v>121</v>
      </c>
      <c r="C76" s="233" t="s">
        <v>77</v>
      </c>
      <c r="D76" s="233">
        <v>13159</v>
      </c>
      <c r="E76" s="233">
        <v>2025</v>
      </c>
      <c r="F76" s="233" t="s">
        <v>276</v>
      </c>
      <c r="G76" s="233">
        <v>3</v>
      </c>
      <c r="H76" s="233">
        <v>9</v>
      </c>
      <c r="I76" s="233" t="s">
        <v>708</v>
      </c>
      <c r="J76" s="234">
        <v>0</v>
      </c>
      <c r="K76" s="235"/>
      <c r="L76" s="236"/>
      <c r="M76" s="276"/>
      <c r="N76" s="277"/>
      <c r="O76" s="234">
        <v>0</v>
      </c>
      <c r="P76" s="235">
        <v>0</v>
      </c>
      <c r="Q76" s="236"/>
      <c r="R76" s="237"/>
      <c r="S76" s="234">
        <v>0</v>
      </c>
      <c r="T76" s="235">
        <v>0</v>
      </c>
      <c r="U76" s="236"/>
    </row>
    <row r="77" spans="1:21" s="66" customFormat="1" ht="22.8" x14ac:dyDescent="0.3">
      <c r="A77" s="238">
        <v>13159</v>
      </c>
      <c r="B77" s="238" t="s">
        <v>121</v>
      </c>
      <c r="C77" s="238" t="s">
        <v>75</v>
      </c>
      <c r="D77" s="238">
        <v>13159</v>
      </c>
      <c r="E77" s="238">
        <v>2025</v>
      </c>
      <c r="F77" s="238" t="s">
        <v>276</v>
      </c>
      <c r="G77" s="238">
        <v>3</v>
      </c>
      <c r="H77" s="238">
        <v>9</v>
      </c>
      <c r="I77" s="238" t="s">
        <v>708</v>
      </c>
      <c r="J77" s="239">
        <v>15043394</v>
      </c>
      <c r="K77" s="240">
        <v>96199</v>
      </c>
      <c r="L77" s="241" t="s">
        <v>296</v>
      </c>
      <c r="M77" s="278"/>
      <c r="N77" s="277"/>
      <c r="O77" s="239">
        <v>7490339</v>
      </c>
      <c r="P77" s="240">
        <v>111525</v>
      </c>
      <c r="Q77" s="241" t="s">
        <v>296</v>
      </c>
      <c r="R77" s="237"/>
      <c r="S77" s="239">
        <v>6151502</v>
      </c>
      <c r="T77" s="240">
        <v>13017.49</v>
      </c>
      <c r="U77" s="241" t="s">
        <v>296</v>
      </c>
    </row>
    <row r="78" spans="1:21" s="66" customFormat="1" ht="34.200000000000003" x14ac:dyDescent="0.3">
      <c r="A78" s="233">
        <v>14426</v>
      </c>
      <c r="B78" s="233" t="s">
        <v>116</v>
      </c>
      <c r="C78" s="233" t="s">
        <v>83</v>
      </c>
      <c r="D78" s="233">
        <v>14286</v>
      </c>
      <c r="E78" s="233">
        <v>2025</v>
      </c>
      <c r="F78" s="233" t="s">
        <v>275</v>
      </c>
      <c r="G78" s="233">
        <v>2</v>
      </c>
      <c r="H78" s="233">
        <v>6</v>
      </c>
      <c r="I78" s="233" t="s">
        <v>706</v>
      </c>
      <c r="J78" s="234">
        <v>639491.48</v>
      </c>
      <c r="K78" s="235">
        <v>7360.49</v>
      </c>
      <c r="L78" s="236" t="s">
        <v>298</v>
      </c>
      <c r="M78" s="276" t="s">
        <v>298</v>
      </c>
      <c r="N78" s="277"/>
      <c r="O78" s="234">
        <v>518682.93</v>
      </c>
      <c r="P78" s="235">
        <v>27329.32</v>
      </c>
      <c r="Q78" s="236" t="s">
        <v>298</v>
      </c>
      <c r="R78" s="237" t="s">
        <v>298</v>
      </c>
      <c r="S78" s="234">
        <v>391010.54</v>
      </c>
      <c r="T78" s="235">
        <v>1520.77</v>
      </c>
      <c r="U78" s="236" t="s">
        <v>298</v>
      </c>
    </row>
    <row r="79" spans="1:21" s="66" customFormat="1" ht="22.8" x14ac:dyDescent="0.3">
      <c r="A79" s="238">
        <v>46</v>
      </c>
      <c r="B79" s="238" t="s">
        <v>115</v>
      </c>
      <c r="C79" s="238" t="s">
        <v>77</v>
      </c>
      <c r="D79" s="238">
        <v>14286</v>
      </c>
      <c r="E79" s="238">
        <v>2025</v>
      </c>
      <c r="F79" s="238" t="s">
        <v>275</v>
      </c>
      <c r="G79" s="238">
        <v>2</v>
      </c>
      <c r="H79" s="238">
        <v>6</v>
      </c>
      <c r="I79" s="238" t="s">
        <v>706</v>
      </c>
      <c r="J79" s="239">
        <v>11226470.42</v>
      </c>
      <c r="K79" s="240">
        <v>134204.17000000001</v>
      </c>
      <c r="L79" s="241" t="s">
        <v>298</v>
      </c>
      <c r="M79" s="278" t="s">
        <v>298</v>
      </c>
      <c r="N79" s="277"/>
      <c r="O79" s="239">
        <v>15645670.6</v>
      </c>
      <c r="P79" s="240">
        <v>316255.26</v>
      </c>
      <c r="Q79" s="241" t="s">
        <v>298</v>
      </c>
      <c r="R79" s="237" t="s">
        <v>298</v>
      </c>
      <c r="S79" s="239">
        <v>761.65</v>
      </c>
      <c r="T79" s="240">
        <v>10.7</v>
      </c>
      <c r="U79" s="241" t="s">
        <v>298</v>
      </c>
    </row>
    <row r="80" spans="1:21" s="66" customFormat="1" ht="22.8" x14ac:dyDescent="0.3">
      <c r="A80" s="233">
        <v>14286</v>
      </c>
      <c r="B80" s="233" t="s">
        <v>113</v>
      </c>
      <c r="C80" s="233" t="s">
        <v>75</v>
      </c>
      <c r="D80" s="233">
        <v>14286</v>
      </c>
      <c r="E80" s="233">
        <v>2025</v>
      </c>
      <c r="F80" s="233" t="s">
        <v>275</v>
      </c>
      <c r="G80" s="233">
        <v>2</v>
      </c>
      <c r="H80" s="233">
        <v>6</v>
      </c>
      <c r="I80" s="233" t="s">
        <v>706</v>
      </c>
      <c r="J80" s="234">
        <v>11925206.3985714</v>
      </c>
      <c r="K80" s="235">
        <v>142110.755714286</v>
      </c>
      <c r="L80" s="236" t="s">
        <v>298</v>
      </c>
      <c r="M80" s="276" t="s">
        <v>298</v>
      </c>
      <c r="N80" s="277"/>
      <c r="O80" s="234">
        <v>16337697.6571429</v>
      </c>
      <c r="P80" s="235">
        <v>347495.77571428602</v>
      </c>
      <c r="Q80" s="236" t="s">
        <v>298</v>
      </c>
      <c r="R80" s="237" t="s">
        <v>298</v>
      </c>
      <c r="S80" s="234">
        <v>626460.11</v>
      </c>
      <c r="T80" s="235">
        <v>2448.27</v>
      </c>
      <c r="U80" s="236" t="s">
        <v>298</v>
      </c>
    </row>
    <row r="81" spans="1:21" s="66" customFormat="1" ht="22.8" x14ac:dyDescent="0.3">
      <c r="A81" s="238">
        <v>14418</v>
      </c>
      <c r="B81" s="238" t="s">
        <v>120</v>
      </c>
      <c r="C81" s="238" t="s">
        <v>83</v>
      </c>
      <c r="D81" s="238">
        <v>14287</v>
      </c>
      <c r="E81" s="238">
        <v>2025</v>
      </c>
      <c r="F81" s="238" t="s">
        <v>275</v>
      </c>
      <c r="G81" s="238">
        <v>2</v>
      </c>
      <c r="H81" s="238">
        <v>6</v>
      </c>
      <c r="I81" s="238" t="s">
        <v>706</v>
      </c>
      <c r="J81" s="239">
        <v>0</v>
      </c>
      <c r="K81" s="240"/>
      <c r="L81" s="241"/>
      <c r="M81" s="278"/>
      <c r="N81" s="277"/>
      <c r="O81" s="239">
        <v>549030</v>
      </c>
      <c r="P81" s="240">
        <v>2643.58</v>
      </c>
      <c r="Q81" s="241" t="s">
        <v>298</v>
      </c>
      <c r="R81" s="237" t="s">
        <v>310</v>
      </c>
      <c r="S81" s="239">
        <v>1815609</v>
      </c>
      <c r="T81" s="240">
        <v>11384.21</v>
      </c>
      <c r="U81" s="241" t="s">
        <v>298</v>
      </c>
    </row>
    <row r="82" spans="1:21" s="66" customFormat="1" ht="22.8" x14ac:dyDescent="0.3">
      <c r="A82" s="233">
        <v>3107</v>
      </c>
      <c r="B82" s="233" t="s">
        <v>118</v>
      </c>
      <c r="C82" s="233" t="s">
        <v>77</v>
      </c>
      <c r="D82" s="233">
        <v>14287</v>
      </c>
      <c r="E82" s="233">
        <v>2025</v>
      </c>
      <c r="F82" s="233" t="s">
        <v>275</v>
      </c>
      <c r="G82" s="233">
        <v>2</v>
      </c>
      <c r="H82" s="233">
        <v>6</v>
      </c>
      <c r="I82" s="233" t="s">
        <v>706</v>
      </c>
      <c r="J82" s="234">
        <v>10478367</v>
      </c>
      <c r="K82" s="235">
        <v>98858.61</v>
      </c>
      <c r="L82" s="236" t="s">
        <v>298</v>
      </c>
      <c r="M82" s="276" t="s">
        <v>310</v>
      </c>
      <c r="N82" s="277"/>
      <c r="O82" s="234">
        <v>5585923</v>
      </c>
      <c r="P82" s="235">
        <v>52769.14</v>
      </c>
      <c r="Q82" s="236" t="s">
        <v>298</v>
      </c>
      <c r="R82" s="237" t="s">
        <v>310</v>
      </c>
      <c r="S82" s="234">
        <v>0</v>
      </c>
      <c r="T82" s="235">
        <v>0</v>
      </c>
      <c r="U82" s="236"/>
    </row>
    <row r="83" spans="1:21" s="66" customFormat="1" ht="22.8" x14ac:dyDescent="0.3">
      <c r="A83" s="238">
        <v>14287</v>
      </c>
      <c r="B83" s="238" t="s">
        <v>117</v>
      </c>
      <c r="C83" s="238" t="s">
        <v>75</v>
      </c>
      <c r="D83" s="238">
        <v>14287</v>
      </c>
      <c r="E83" s="238">
        <v>2025</v>
      </c>
      <c r="F83" s="238" t="s">
        <v>275</v>
      </c>
      <c r="G83" s="238">
        <v>2</v>
      </c>
      <c r="H83" s="238">
        <v>6</v>
      </c>
      <c r="I83" s="238" t="s">
        <v>706</v>
      </c>
      <c r="J83" s="239">
        <v>20607468.190000001</v>
      </c>
      <c r="K83" s="240">
        <v>187585.64</v>
      </c>
      <c r="L83" s="241" t="s">
        <v>298</v>
      </c>
      <c r="M83" s="278" t="s">
        <v>310</v>
      </c>
      <c r="N83" s="277"/>
      <c r="O83" s="239">
        <v>6134953</v>
      </c>
      <c r="P83" s="240">
        <v>55412.72</v>
      </c>
      <c r="Q83" s="241" t="s">
        <v>298</v>
      </c>
      <c r="R83" s="237" t="s">
        <v>310</v>
      </c>
      <c r="S83" s="239">
        <v>2170394.81</v>
      </c>
      <c r="T83" s="240">
        <v>13173.56</v>
      </c>
      <c r="U83" s="241" t="s">
        <v>298</v>
      </c>
    </row>
    <row r="84" spans="1:21" s="66" customFormat="1" ht="22.8" x14ac:dyDescent="0.3">
      <c r="A84" s="233">
        <v>126</v>
      </c>
      <c r="B84" s="233" t="s">
        <v>178</v>
      </c>
      <c r="C84" s="233" t="s">
        <v>83</v>
      </c>
      <c r="D84" s="233">
        <v>14287</v>
      </c>
      <c r="E84" s="233">
        <v>2025</v>
      </c>
      <c r="F84" s="233" t="s">
        <v>275</v>
      </c>
      <c r="G84" s="233">
        <v>2</v>
      </c>
      <c r="H84" s="233">
        <v>6</v>
      </c>
      <c r="I84" s="233" t="s">
        <v>706</v>
      </c>
      <c r="J84" s="234">
        <v>6513980.1900000004</v>
      </c>
      <c r="K84" s="235">
        <v>54286.35</v>
      </c>
      <c r="L84" s="236" t="s">
        <v>298</v>
      </c>
      <c r="M84" s="276" t="s">
        <v>310</v>
      </c>
      <c r="N84" s="277"/>
      <c r="O84" s="234">
        <v>0</v>
      </c>
      <c r="P84" s="235">
        <v>0</v>
      </c>
      <c r="Q84" s="236"/>
      <c r="R84" s="237"/>
      <c r="S84" s="234">
        <v>354785.81</v>
      </c>
      <c r="T84" s="235">
        <v>1789.35</v>
      </c>
      <c r="U84" s="236" t="s">
        <v>298</v>
      </c>
    </row>
    <row r="85" spans="1:21" s="66" customFormat="1" ht="22.8" x14ac:dyDescent="0.3">
      <c r="A85" s="238">
        <v>13198</v>
      </c>
      <c r="B85" s="238" t="s">
        <v>119</v>
      </c>
      <c r="C85" s="238" t="s">
        <v>83</v>
      </c>
      <c r="D85" s="238">
        <v>14287</v>
      </c>
      <c r="E85" s="238">
        <v>2025</v>
      </c>
      <c r="F85" s="238" t="s">
        <v>275</v>
      </c>
      <c r="G85" s="238">
        <v>2</v>
      </c>
      <c r="H85" s="238">
        <v>6</v>
      </c>
      <c r="I85" s="238" t="s">
        <v>706</v>
      </c>
      <c r="J85" s="239">
        <v>0</v>
      </c>
      <c r="K85" s="240"/>
      <c r="L85" s="241"/>
      <c r="M85" s="278"/>
      <c r="N85" s="277"/>
      <c r="O85" s="239">
        <v>0</v>
      </c>
      <c r="P85" s="240">
        <v>0</v>
      </c>
      <c r="Q85" s="241"/>
      <c r="R85" s="237"/>
      <c r="S85" s="239">
        <v>0</v>
      </c>
      <c r="T85" s="240">
        <v>0</v>
      </c>
      <c r="U85" s="241"/>
    </row>
    <row r="86" spans="1:21" s="66" customFormat="1" ht="22.8" x14ac:dyDescent="0.3">
      <c r="A86" s="233">
        <v>8701</v>
      </c>
      <c r="B86" s="233" t="s">
        <v>175</v>
      </c>
      <c r="C86" s="233" t="s">
        <v>77</v>
      </c>
      <c r="D86" s="233">
        <v>14287</v>
      </c>
      <c r="E86" s="233">
        <v>2025</v>
      </c>
      <c r="F86" s="233" t="s">
        <v>275</v>
      </c>
      <c r="G86" s="233">
        <v>2</v>
      </c>
      <c r="H86" s="233">
        <v>6</v>
      </c>
      <c r="I86" s="233" t="s">
        <v>706</v>
      </c>
      <c r="J86" s="234">
        <v>3615121</v>
      </c>
      <c r="K86" s="235">
        <v>34440.68</v>
      </c>
      <c r="L86" s="236" t="s">
        <v>298</v>
      </c>
      <c r="M86" s="276" t="s">
        <v>310</v>
      </c>
      <c r="N86" s="277"/>
      <c r="O86" s="234">
        <v>0</v>
      </c>
      <c r="P86" s="235">
        <v>0</v>
      </c>
      <c r="Q86" s="236"/>
      <c r="R86" s="237"/>
      <c r="S86" s="234">
        <v>0</v>
      </c>
      <c r="T86" s="235">
        <v>0</v>
      </c>
      <c r="U86" s="236"/>
    </row>
    <row r="87" spans="1:21" s="66" customFormat="1" ht="22.8" x14ac:dyDescent="0.3">
      <c r="A87" s="238">
        <v>6547</v>
      </c>
      <c r="B87" s="238" t="s">
        <v>184</v>
      </c>
      <c r="C87" s="238" t="s">
        <v>77</v>
      </c>
      <c r="D87" s="238">
        <v>14288</v>
      </c>
      <c r="E87" s="238">
        <v>2025</v>
      </c>
      <c r="F87" s="238" t="s">
        <v>276</v>
      </c>
      <c r="G87" s="238">
        <v>3</v>
      </c>
      <c r="H87" s="238">
        <v>9</v>
      </c>
      <c r="I87" s="238" t="s">
        <v>708</v>
      </c>
      <c r="J87" s="239">
        <v>1372966</v>
      </c>
      <c r="K87" s="240">
        <v>16106.9</v>
      </c>
      <c r="L87" s="241" t="s">
        <v>298</v>
      </c>
      <c r="M87" s="278" t="s">
        <v>318</v>
      </c>
      <c r="N87" s="277"/>
      <c r="O87" s="239">
        <v>216295</v>
      </c>
      <c r="P87" s="240">
        <v>2625.5</v>
      </c>
      <c r="Q87" s="241" t="s">
        <v>298</v>
      </c>
      <c r="R87" s="237" t="s">
        <v>318</v>
      </c>
      <c r="S87" s="239">
        <v>0</v>
      </c>
      <c r="T87" s="240">
        <v>0</v>
      </c>
      <c r="U87" s="241"/>
    </row>
    <row r="88" spans="1:21" s="66" customFormat="1" ht="22.8" x14ac:dyDescent="0.3">
      <c r="A88" s="233">
        <v>14425</v>
      </c>
      <c r="B88" s="233" t="s">
        <v>187</v>
      </c>
      <c r="C88" s="233" t="s">
        <v>83</v>
      </c>
      <c r="D88" s="233">
        <v>14288</v>
      </c>
      <c r="E88" s="233">
        <v>2025</v>
      </c>
      <c r="F88" s="233" t="s">
        <v>276</v>
      </c>
      <c r="G88" s="233">
        <v>3</v>
      </c>
      <c r="H88" s="233">
        <v>9</v>
      </c>
      <c r="I88" s="233" t="s">
        <v>708</v>
      </c>
      <c r="J88" s="234">
        <v>0</v>
      </c>
      <c r="K88" s="235">
        <v>0</v>
      </c>
      <c r="L88" s="236"/>
      <c r="M88" s="276"/>
      <c r="N88" s="277"/>
      <c r="O88" s="234">
        <v>0</v>
      </c>
      <c r="P88" s="235">
        <v>0</v>
      </c>
      <c r="Q88" s="236"/>
      <c r="R88" s="237"/>
      <c r="S88" s="234">
        <v>0</v>
      </c>
      <c r="T88" s="235">
        <v>0</v>
      </c>
      <c r="U88" s="236"/>
    </row>
    <row r="89" spans="1:21" s="66" customFormat="1" ht="22.8" x14ac:dyDescent="0.3">
      <c r="A89" s="238">
        <v>14424</v>
      </c>
      <c r="B89" s="238" t="s">
        <v>186</v>
      </c>
      <c r="C89" s="238" t="s">
        <v>83</v>
      </c>
      <c r="D89" s="238">
        <v>14288</v>
      </c>
      <c r="E89" s="238">
        <v>2025</v>
      </c>
      <c r="F89" s="238" t="s">
        <v>276</v>
      </c>
      <c r="G89" s="238">
        <v>3</v>
      </c>
      <c r="H89" s="238">
        <v>9</v>
      </c>
      <c r="I89" s="238" t="s">
        <v>708</v>
      </c>
      <c r="J89" s="239">
        <v>0</v>
      </c>
      <c r="K89" s="240">
        <v>0</v>
      </c>
      <c r="L89" s="241"/>
      <c r="M89" s="278"/>
      <c r="N89" s="277"/>
      <c r="O89" s="239">
        <v>0</v>
      </c>
      <c r="P89" s="240">
        <v>0</v>
      </c>
      <c r="Q89" s="241"/>
      <c r="R89" s="237"/>
      <c r="S89" s="239">
        <v>672696</v>
      </c>
      <c r="T89" s="240">
        <v>1736.79</v>
      </c>
      <c r="U89" s="241" t="s">
        <v>316</v>
      </c>
    </row>
    <row r="90" spans="1:21" s="66" customFormat="1" ht="34.200000000000003" x14ac:dyDescent="0.3">
      <c r="A90" s="233">
        <v>16532</v>
      </c>
      <c r="B90" s="233" t="s">
        <v>188</v>
      </c>
      <c r="C90" s="233" t="s">
        <v>83</v>
      </c>
      <c r="D90" s="233">
        <v>14288</v>
      </c>
      <c r="E90" s="233">
        <v>2025</v>
      </c>
      <c r="F90" s="233" t="s">
        <v>276</v>
      </c>
      <c r="G90" s="233">
        <v>3</v>
      </c>
      <c r="H90" s="233">
        <v>9</v>
      </c>
      <c r="I90" s="233" t="s">
        <v>708</v>
      </c>
      <c r="J90" s="234">
        <v>0</v>
      </c>
      <c r="K90" s="235">
        <v>0</v>
      </c>
      <c r="L90" s="236"/>
      <c r="M90" s="276"/>
      <c r="N90" s="277"/>
      <c r="O90" s="234">
        <v>0</v>
      </c>
      <c r="P90" s="235">
        <v>0</v>
      </c>
      <c r="Q90" s="236"/>
      <c r="R90" s="237"/>
      <c r="S90" s="234">
        <v>0</v>
      </c>
      <c r="T90" s="235">
        <v>0</v>
      </c>
      <c r="U90" s="236"/>
    </row>
    <row r="91" spans="1:21" s="66" customFormat="1" ht="22.8" x14ac:dyDescent="0.3">
      <c r="A91" s="238">
        <v>14288</v>
      </c>
      <c r="B91" s="238" t="s">
        <v>183</v>
      </c>
      <c r="C91" s="238" t="s">
        <v>75</v>
      </c>
      <c r="D91" s="238">
        <v>14288</v>
      </c>
      <c r="E91" s="238">
        <v>2025</v>
      </c>
      <c r="F91" s="238" t="s">
        <v>276</v>
      </c>
      <c r="G91" s="238">
        <v>3</v>
      </c>
      <c r="H91" s="238">
        <v>9</v>
      </c>
      <c r="I91" s="238" t="s">
        <v>708</v>
      </c>
      <c r="J91" s="239">
        <v>58267806</v>
      </c>
      <c r="K91" s="240">
        <v>600261</v>
      </c>
      <c r="L91" s="241" t="s">
        <v>298</v>
      </c>
      <c r="M91" s="278" t="s">
        <v>318</v>
      </c>
      <c r="N91" s="277"/>
      <c r="O91" s="239">
        <v>32268945</v>
      </c>
      <c r="P91" s="240">
        <v>447275</v>
      </c>
      <c r="Q91" s="241" t="s">
        <v>298</v>
      </c>
      <c r="R91" s="237" t="s">
        <v>318</v>
      </c>
      <c r="S91" s="239">
        <v>310511</v>
      </c>
      <c r="T91" s="240">
        <v>3765</v>
      </c>
      <c r="U91" s="241" t="s">
        <v>298</v>
      </c>
    </row>
    <row r="92" spans="1:21" s="66" customFormat="1" ht="22.8" x14ac:dyDescent="0.3">
      <c r="A92" s="233">
        <v>12151</v>
      </c>
      <c r="B92" s="233" t="s">
        <v>185</v>
      </c>
      <c r="C92" s="233" t="s">
        <v>83</v>
      </c>
      <c r="D92" s="233">
        <v>14288</v>
      </c>
      <c r="E92" s="233">
        <v>2025</v>
      </c>
      <c r="F92" s="233" t="s">
        <v>276</v>
      </c>
      <c r="G92" s="233">
        <v>3</v>
      </c>
      <c r="H92" s="233">
        <v>9</v>
      </c>
      <c r="I92" s="233" t="s">
        <v>708</v>
      </c>
      <c r="J92" s="234">
        <v>0</v>
      </c>
      <c r="K92" s="235">
        <v>0</v>
      </c>
      <c r="L92" s="236"/>
      <c r="M92" s="276"/>
      <c r="N92" s="277"/>
      <c r="O92" s="234">
        <v>0</v>
      </c>
      <c r="P92" s="235">
        <v>0</v>
      </c>
      <c r="Q92" s="236"/>
      <c r="R92" s="237"/>
      <c r="S92" s="234">
        <v>403111</v>
      </c>
      <c r="T92" s="235">
        <v>1007.43</v>
      </c>
      <c r="U92" s="236" t="s">
        <v>316</v>
      </c>
    </row>
    <row r="93" spans="1:21" s="66" customFormat="1" ht="22.8" x14ac:dyDescent="0.3">
      <c r="A93" s="238">
        <v>16533</v>
      </c>
      <c r="B93" s="238" t="s">
        <v>189</v>
      </c>
      <c r="C93" s="238" t="s">
        <v>83</v>
      </c>
      <c r="D93" s="238">
        <v>14288</v>
      </c>
      <c r="E93" s="238">
        <v>2025</v>
      </c>
      <c r="F93" s="238" t="s">
        <v>276</v>
      </c>
      <c r="G93" s="238">
        <v>3</v>
      </c>
      <c r="H93" s="238">
        <v>9</v>
      </c>
      <c r="I93" s="238" t="s">
        <v>708</v>
      </c>
      <c r="J93" s="239">
        <v>0</v>
      </c>
      <c r="K93" s="240">
        <v>0</v>
      </c>
      <c r="L93" s="241"/>
      <c r="M93" s="278"/>
      <c r="N93" s="277"/>
      <c r="O93" s="239">
        <v>0</v>
      </c>
      <c r="P93" s="240">
        <v>0</v>
      </c>
      <c r="Q93" s="241"/>
      <c r="R93" s="237"/>
      <c r="S93" s="239">
        <v>560954</v>
      </c>
      <c r="T93" s="240">
        <v>1724.86</v>
      </c>
      <c r="U93" s="241" t="s">
        <v>316</v>
      </c>
    </row>
    <row r="94" spans="1:21" s="66" customFormat="1" ht="22.8" x14ac:dyDescent="0.3">
      <c r="A94" s="233">
        <v>100</v>
      </c>
      <c r="B94" s="233" t="s">
        <v>97</v>
      </c>
      <c r="C94" s="233" t="s">
        <v>77</v>
      </c>
      <c r="D94" s="233">
        <v>16665</v>
      </c>
      <c r="E94" s="233">
        <v>2025</v>
      </c>
      <c r="F94" s="233" t="s">
        <v>275</v>
      </c>
      <c r="G94" s="233">
        <v>2</v>
      </c>
      <c r="H94" s="233">
        <v>6</v>
      </c>
      <c r="I94" s="233" t="s">
        <v>706</v>
      </c>
      <c r="J94" s="234">
        <v>1642384</v>
      </c>
      <c r="K94" s="235">
        <v>14541.07</v>
      </c>
      <c r="L94" s="236" t="s">
        <v>298</v>
      </c>
      <c r="M94" s="276" t="s">
        <v>319</v>
      </c>
      <c r="N94" s="277"/>
      <c r="O94" s="234">
        <v>1761120</v>
      </c>
      <c r="P94" s="235">
        <v>18923.419999999998</v>
      </c>
      <c r="Q94" s="236" t="s">
        <v>298</v>
      </c>
      <c r="R94" s="237" t="s">
        <v>319</v>
      </c>
      <c r="S94" s="234">
        <v>0</v>
      </c>
      <c r="T94" s="235">
        <v>0</v>
      </c>
      <c r="U94" s="236" t="s">
        <v>298</v>
      </c>
    </row>
    <row r="95" spans="1:21" s="66" customFormat="1" ht="22.8" x14ac:dyDescent="0.3">
      <c r="A95" s="238">
        <v>16665</v>
      </c>
      <c r="B95" s="238" t="s">
        <v>90</v>
      </c>
      <c r="C95" s="238" t="s">
        <v>75</v>
      </c>
      <c r="D95" s="238">
        <v>16665</v>
      </c>
      <c r="E95" s="238">
        <v>2025</v>
      </c>
      <c r="F95" s="238" t="s">
        <v>275</v>
      </c>
      <c r="G95" s="238">
        <v>2</v>
      </c>
      <c r="H95" s="238">
        <v>6</v>
      </c>
      <c r="I95" s="238" t="s">
        <v>706</v>
      </c>
      <c r="J95" s="239">
        <v>14653757.744473699</v>
      </c>
      <c r="K95" s="240">
        <v>141058.83140584599</v>
      </c>
      <c r="L95" s="241" t="s">
        <v>298</v>
      </c>
      <c r="M95" s="278" t="s">
        <v>319</v>
      </c>
      <c r="N95" s="277"/>
      <c r="O95" s="239">
        <v>8828601.5855263099</v>
      </c>
      <c r="P95" s="240">
        <v>94381.198871132496</v>
      </c>
      <c r="Q95" s="241" t="s">
        <v>298</v>
      </c>
      <c r="R95" s="237" t="s">
        <v>319</v>
      </c>
      <c r="S95" s="239">
        <v>37403657.560000002</v>
      </c>
      <c r="T95" s="240">
        <v>40323.301074677103</v>
      </c>
      <c r="U95" s="241" t="s">
        <v>298</v>
      </c>
    </row>
    <row r="96" spans="1:21" s="66" customFormat="1" ht="22.8" x14ac:dyDescent="0.3">
      <c r="A96" s="233">
        <v>12037</v>
      </c>
      <c r="B96" s="233" t="s">
        <v>105</v>
      </c>
      <c r="C96" s="233" t="s">
        <v>83</v>
      </c>
      <c r="D96" s="233">
        <v>16665</v>
      </c>
      <c r="E96" s="233">
        <v>2025</v>
      </c>
      <c r="F96" s="233" t="s">
        <v>275</v>
      </c>
      <c r="G96" s="233">
        <v>2</v>
      </c>
      <c r="H96" s="233">
        <v>6</v>
      </c>
      <c r="I96" s="233" t="s">
        <v>706</v>
      </c>
      <c r="J96" s="234">
        <v>0</v>
      </c>
      <c r="K96" s="235">
        <v>0</v>
      </c>
      <c r="L96" s="236" t="s">
        <v>298</v>
      </c>
      <c r="M96" s="276" t="s">
        <v>319</v>
      </c>
      <c r="N96" s="277"/>
      <c r="O96" s="234">
        <v>0</v>
      </c>
      <c r="P96" s="235">
        <v>0</v>
      </c>
      <c r="Q96" s="236" t="s">
        <v>298</v>
      </c>
      <c r="R96" s="237" t="s">
        <v>319</v>
      </c>
      <c r="S96" s="234">
        <v>366277</v>
      </c>
      <c r="T96" s="235">
        <v>0</v>
      </c>
      <c r="U96" s="236" t="s">
        <v>298</v>
      </c>
    </row>
    <row r="97" spans="1:21" s="66" customFormat="1" ht="22.8" x14ac:dyDescent="0.3">
      <c r="A97" s="238">
        <v>8702</v>
      </c>
      <c r="B97" s="238" t="s">
        <v>95</v>
      </c>
      <c r="C97" s="238" t="s">
        <v>77</v>
      </c>
      <c r="D97" s="238">
        <v>16665</v>
      </c>
      <c r="E97" s="238">
        <v>2025</v>
      </c>
      <c r="F97" s="238" t="s">
        <v>275</v>
      </c>
      <c r="G97" s="238">
        <v>2</v>
      </c>
      <c r="H97" s="238">
        <v>6</v>
      </c>
      <c r="I97" s="238" t="s">
        <v>706</v>
      </c>
      <c r="J97" s="239">
        <v>2233496</v>
      </c>
      <c r="K97" s="240">
        <v>21887.360000000001</v>
      </c>
      <c r="L97" s="241" t="s">
        <v>298</v>
      </c>
      <c r="M97" s="278" t="s">
        <v>319</v>
      </c>
      <c r="N97" s="277"/>
      <c r="O97" s="239">
        <v>1549682</v>
      </c>
      <c r="P97" s="240">
        <v>17292.3</v>
      </c>
      <c r="Q97" s="241" t="s">
        <v>298</v>
      </c>
      <c r="R97" s="237" t="s">
        <v>319</v>
      </c>
      <c r="S97" s="239">
        <v>0</v>
      </c>
      <c r="T97" s="240">
        <v>0</v>
      </c>
      <c r="U97" s="241" t="s">
        <v>298</v>
      </c>
    </row>
    <row r="98" spans="1:21" s="66" customFormat="1" ht="22.8" x14ac:dyDescent="0.3">
      <c r="A98" s="233">
        <v>1</v>
      </c>
      <c r="B98" s="233" t="s">
        <v>91</v>
      </c>
      <c r="C98" s="233" t="s">
        <v>77</v>
      </c>
      <c r="D98" s="233">
        <v>16665</v>
      </c>
      <c r="E98" s="233">
        <v>2025</v>
      </c>
      <c r="F98" s="233" t="s">
        <v>275</v>
      </c>
      <c r="G98" s="233">
        <v>2</v>
      </c>
      <c r="H98" s="233">
        <v>6</v>
      </c>
      <c r="I98" s="233" t="s">
        <v>706</v>
      </c>
      <c r="J98" s="234">
        <v>729899.49</v>
      </c>
      <c r="K98" s="235">
        <v>6612.77</v>
      </c>
      <c r="L98" s="236" t="s">
        <v>298</v>
      </c>
      <c r="M98" s="276" t="s">
        <v>319</v>
      </c>
      <c r="N98" s="277"/>
      <c r="O98" s="234">
        <v>432679.1</v>
      </c>
      <c r="P98" s="235">
        <v>5090.7700000000004</v>
      </c>
      <c r="Q98" s="236" t="s">
        <v>298</v>
      </c>
      <c r="R98" s="237" t="s">
        <v>319</v>
      </c>
      <c r="S98" s="234">
        <v>0</v>
      </c>
      <c r="T98" s="235">
        <v>0</v>
      </c>
      <c r="U98" s="236" t="s">
        <v>298</v>
      </c>
    </row>
    <row r="99" spans="1:21" s="66" customFormat="1" ht="22.8" x14ac:dyDescent="0.3">
      <c r="A99" s="238">
        <v>103</v>
      </c>
      <c r="B99" s="238" t="s">
        <v>98</v>
      </c>
      <c r="C99" s="238" t="s">
        <v>77</v>
      </c>
      <c r="D99" s="238">
        <v>16665</v>
      </c>
      <c r="E99" s="238">
        <v>2025</v>
      </c>
      <c r="F99" s="238" t="s">
        <v>275</v>
      </c>
      <c r="G99" s="238">
        <v>2</v>
      </c>
      <c r="H99" s="238">
        <v>6</v>
      </c>
      <c r="I99" s="238" t="s">
        <v>706</v>
      </c>
      <c r="J99" s="239">
        <v>7744</v>
      </c>
      <c r="K99" s="240">
        <v>73.75</v>
      </c>
      <c r="L99" s="241" t="s">
        <v>298</v>
      </c>
      <c r="M99" s="278" t="s">
        <v>319</v>
      </c>
      <c r="N99" s="277"/>
      <c r="O99" s="239">
        <v>199597.81</v>
      </c>
      <c r="P99" s="240">
        <v>2192.7502500000001</v>
      </c>
      <c r="Q99" s="241" t="s">
        <v>298</v>
      </c>
      <c r="R99" s="237" t="s">
        <v>319</v>
      </c>
      <c r="S99" s="239">
        <v>0</v>
      </c>
      <c r="T99" s="240">
        <v>0</v>
      </c>
      <c r="U99" s="241" t="s">
        <v>298</v>
      </c>
    </row>
    <row r="100" spans="1:21" s="66" customFormat="1" ht="22.8" x14ac:dyDescent="0.3">
      <c r="A100" s="233">
        <v>11408</v>
      </c>
      <c r="B100" s="233" t="s">
        <v>110</v>
      </c>
      <c r="C100" s="233" t="s">
        <v>83</v>
      </c>
      <c r="D100" s="233">
        <v>16665</v>
      </c>
      <c r="E100" s="233">
        <v>2025</v>
      </c>
      <c r="F100" s="233" t="s">
        <v>275</v>
      </c>
      <c r="G100" s="233">
        <v>2</v>
      </c>
      <c r="H100" s="233">
        <v>6</v>
      </c>
      <c r="I100" s="233" t="s">
        <v>706</v>
      </c>
      <c r="J100" s="234">
        <v>0</v>
      </c>
      <c r="K100" s="235">
        <v>0</v>
      </c>
      <c r="L100" s="236" t="s">
        <v>298</v>
      </c>
      <c r="M100" s="276" t="s">
        <v>319</v>
      </c>
      <c r="N100" s="277"/>
      <c r="O100" s="234">
        <v>0</v>
      </c>
      <c r="P100" s="235">
        <v>0</v>
      </c>
      <c r="Q100" s="236" t="s">
        <v>298</v>
      </c>
      <c r="R100" s="237" t="s">
        <v>319</v>
      </c>
      <c r="S100" s="234">
        <v>0</v>
      </c>
      <c r="T100" s="235">
        <v>0</v>
      </c>
      <c r="U100" s="236" t="s">
        <v>298</v>
      </c>
    </row>
    <row r="101" spans="1:21" s="66" customFormat="1" ht="22.8" x14ac:dyDescent="0.3">
      <c r="A101" s="238">
        <v>11761</v>
      </c>
      <c r="B101" s="238" t="s">
        <v>103</v>
      </c>
      <c r="C101" s="238" t="s">
        <v>83</v>
      </c>
      <c r="D101" s="238">
        <v>16665</v>
      </c>
      <c r="E101" s="238">
        <v>2025</v>
      </c>
      <c r="F101" s="238" t="s">
        <v>275</v>
      </c>
      <c r="G101" s="238">
        <v>2</v>
      </c>
      <c r="H101" s="238">
        <v>6</v>
      </c>
      <c r="I101" s="238" t="s">
        <v>706</v>
      </c>
      <c r="J101" s="239">
        <v>0</v>
      </c>
      <c r="K101" s="240"/>
      <c r="L101" s="241" t="s">
        <v>298</v>
      </c>
      <c r="M101" s="278" t="s">
        <v>319</v>
      </c>
      <c r="N101" s="277"/>
      <c r="O101" s="239">
        <v>0</v>
      </c>
      <c r="P101" s="240">
        <v>0</v>
      </c>
      <c r="Q101" s="241" t="s">
        <v>298</v>
      </c>
      <c r="R101" s="237" t="s">
        <v>319</v>
      </c>
      <c r="S101" s="239">
        <v>0</v>
      </c>
      <c r="T101" s="240">
        <v>0</v>
      </c>
      <c r="U101" s="241" t="s">
        <v>298</v>
      </c>
    </row>
    <row r="102" spans="1:21" s="66" customFormat="1" ht="22.8" x14ac:dyDescent="0.3">
      <c r="A102" s="233">
        <v>138</v>
      </c>
      <c r="B102" s="233" t="s">
        <v>101</v>
      </c>
      <c r="C102" s="233" t="s">
        <v>77</v>
      </c>
      <c r="D102" s="233">
        <v>16665</v>
      </c>
      <c r="E102" s="233">
        <v>2025</v>
      </c>
      <c r="F102" s="233" t="s">
        <v>275</v>
      </c>
      <c r="G102" s="233">
        <v>2</v>
      </c>
      <c r="H102" s="233">
        <v>6</v>
      </c>
      <c r="I102" s="233" t="s">
        <v>706</v>
      </c>
      <c r="J102" s="234">
        <v>386404</v>
      </c>
      <c r="K102" s="235">
        <v>4152</v>
      </c>
      <c r="L102" s="236" t="s">
        <v>298</v>
      </c>
      <c r="M102" s="276" t="s">
        <v>319</v>
      </c>
      <c r="N102" s="277"/>
      <c r="O102" s="234">
        <v>383168</v>
      </c>
      <c r="P102" s="235">
        <v>3824</v>
      </c>
      <c r="Q102" s="236" t="s">
        <v>298</v>
      </c>
      <c r="R102" s="237" t="s">
        <v>319</v>
      </c>
      <c r="S102" s="234">
        <v>0</v>
      </c>
      <c r="T102" s="235">
        <v>0</v>
      </c>
      <c r="U102" s="236" t="s">
        <v>298</v>
      </c>
    </row>
    <row r="103" spans="1:21" s="66" customFormat="1" ht="22.8" x14ac:dyDescent="0.3">
      <c r="A103" s="238">
        <v>12022</v>
      </c>
      <c r="B103" s="238" t="s">
        <v>112</v>
      </c>
      <c r="C103" s="238" t="s">
        <v>83</v>
      </c>
      <c r="D103" s="238">
        <v>16665</v>
      </c>
      <c r="E103" s="238">
        <v>2025</v>
      </c>
      <c r="F103" s="238" t="s">
        <v>275</v>
      </c>
      <c r="G103" s="238">
        <v>2</v>
      </c>
      <c r="H103" s="238">
        <v>6</v>
      </c>
      <c r="I103" s="238" t="s">
        <v>706</v>
      </c>
      <c r="J103" s="239">
        <v>0</v>
      </c>
      <c r="K103" s="240">
        <v>0</v>
      </c>
      <c r="L103" s="241" t="s">
        <v>298</v>
      </c>
      <c r="M103" s="278" t="s">
        <v>319</v>
      </c>
      <c r="N103" s="277"/>
      <c r="O103" s="239">
        <v>0</v>
      </c>
      <c r="P103" s="240">
        <v>0</v>
      </c>
      <c r="Q103" s="241" t="s">
        <v>298</v>
      </c>
      <c r="R103" s="237" t="s">
        <v>319</v>
      </c>
      <c r="S103" s="239">
        <v>0</v>
      </c>
      <c r="T103" s="240">
        <v>0</v>
      </c>
      <c r="U103" s="241" t="s">
        <v>298</v>
      </c>
    </row>
    <row r="104" spans="1:21" s="66" customFormat="1" ht="22.8" x14ac:dyDescent="0.3">
      <c r="A104" s="233">
        <v>3112</v>
      </c>
      <c r="B104" s="233" t="s">
        <v>100</v>
      </c>
      <c r="C104" s="233" t="s">
        <v>77</v>
      </c>
      <c r="D104" s="233">
        <v>16665</v>
      </c>
      <c r="E104" s="233">
        <v>2025</v>
      </c>
      <c r="F104" s="233" t="s">
        <v>275</v>
      </c>
      <c r="G104" s="233">
        <v>2</v>
      </c>
      <c r="H104" s="233">
        <v>6</v>
      </c>
      <c r="I104" s="233" t="s">
        <v>706</v>
      </c>
      <c r="J104" s="234">
        <v>1003893.17447369</v>
      </c>
      <c r="K104" s="235">
        <v>9918.5314058455897</v>
      </c>
      <c r="L104" s="236" t="s">
        <v>298</v>
      </c>
      <c r="M104" s="276" t="s">
        <v>319</v>
      </c>
      <c r="N104" s="277"/>
      <c r="O104" s="234">
        <v>959449.65552631498</v>
      </c>
      <c r="P104" s="235">
        <v>8744.1934221324409</v>
      </c>
      <c r="Q104" s="236" t="s">
        <v>298</v>
      </c>
      <c r="R104" s="237" t="s">
        <v>319</v>
      </c>
      <c r="S104" s="234">
        <v>0</v>
      </c>
      <c r="T104" s="235">
        <v>0</v>
      </c>
      <c r="U104" s="236" t="s">
        <v>298</v>
      </c>
    </row>
    <row r="105" spans="1:21" s="66" customFormat="1" ht="22.8" x14ac:dyDescent="0.3">
      <c r="A105" s="238">
        <v>8655</v>
      </c>
      <c r="B105" s="238" t="s">
        <v>109</v>
      </c>
      <c r="C105" s="238" t="s">
        <v>83</v>
      </c>
      <c r="D105" s="238">
        <v>16665</v>
      </c>
      <c r="E105" s="238">
        <v>2025</v>
      </c>
      <c r="F105" s="238" t="s">
        <v>275</v>
      </c>
      <c r="G105" s="238">
        <v>2</v>
      </c>
      <c r="H105" s="238">
        <v>6</v>
      </c>
      <c r="I105" s="238" t="s">
        <v>706</v>
      </c>
      <c r="J105" s="239">
        <v>0</v>
      </c>
      <c r="K105" s="240">
        <v>0</v>
      </c>
      <c r="L105" s="241" t="s">
        <v>298</v>
      </c>
      <c r="M105" s="278" t="s">
        <v>319</v>
      </c>
      <c r="N105" s="277"/>
      <c r="O105" s="239">
        <v>0</v>
      </c>
      <c r="P105" s="240">
        <v>0</v>
      </c>
      <c r="Q105" s="241" t="s">
        <v>298</v>
      </c>
      <c r="R105" s="237" t="s">
        <v>319</v>
      </c>
      <c r="S105" s="239">
        <v>0</v>
      </c>
      <c r="T105" s="240">
        <v>0</v>
      </c>
      <c r="U105" s="241" t="s">
        <v>298</v>
      </c>
    </row>
    <row r="106" spans="1:21" s="66" customFormat="1" ht="22.8" x14ac:dyDescent="0.3">
      <c r="A106" s="233">
        <v>11404</v>
      </c>
      <c r="B106" s="233" t="s">
        <v>108</v>
      </c>
      <c r="C106" s="233" t="s">
        <v>83</v>
      </c>
      <c r="D106" s="233">
        <v>16665</v>
      </c>
      <c r="E106" s="233">
        <v>2025</v>
      </c>
      <c r="F106" s="233" t="s">
        <v>275</v>
      </c>
      <c r="G106" s="233">
        <v>2</v>
      </c>
      <c r="H106" s="233">
        <v>6</v>
      </c>
      <c r="I106" s="233" t="s">
        <v>706</v>
      </c>
      <c r="J106" s="234">
        <v>0</v>
      </c>
      <c r="K106" s="235">
        <v>0</v>
      </c>
      <c r="L106" s="236" t="s">
        <v>298</v>
      </c>
      <c r="M106" s="276" t="s">
        <v>319</v>
      </c>
      <c r="N106" s="277"/>
      <c r="O106" s="234">
        <v>0</v>
      </c>
      <c r="P106" s="235">
        <v>0</v>
      </c>
      <c r="Q106" s="236" t="s">
        <v>298</v>
      </c>
      <c r="R106" s="237" t="s">
        <v>319</v>
      </c>
      <c r="S106" s="234">
        <v>0</v>
      </c>
      <c r="T106" s="235">
        <v>0</v>
      </c>
      <c r="U106" s="236" t="s">
        <v>298</v>
      </c>
    </row>
    <row r="107" spans="1:21" s="66" customFormat="1" ht="22.8" x14ac:dyDescent="0.3">
      <c r="A107" s="238">
        <v>9914</v>
      </c>
      <c r="B107" s="238" t="s">
        <v>104</v>
      </c>
      <c r="C107" s="238" t="s">
        <v>83</v>
      </c>
      <c r="D107" s="238">
        <v>16665</v>
      </c>
      <c r="E107" s="238">
        <v>2025</v>
      </c>
      <c r="F107" s="238" t="s">
        <v>275</v>
      </c>
      <c r="G107" s="238">
        <v>2</v>
      </c>
      <c r="H107" s="238">
        <v>6</v>
      </c>
      <c r="I107" s="238" t="s">
        <v>706</v>
      </c>
      <c r="J107" s="239">
        <v>73060.960000000006</v>
      </c>
      <c r="K107" s="240">
        <v>744.85</v>
      </c>
      <c r="L107" s="241" t="s">
        <v>298</v>
      </c>
      <c r="M107" s="278" t="s">
        <v>319</v>
      </c>
      <c r="N107" s="277"/>
      <c r="O107" s="239">
        <v>1248663.96</v>
      </c>
      <c r="P107" s="240">
        <v>11527.515198999999</v>
      </c>
      <c r="Q107" s="241" t="s">
        <v>298</v>
      </c>
      <c r="R107" s="237" t="s">
        <v>319</v>
      </c>
      <c r="S107" s="239">
        <v>7520780.29</v>
      </c>
      <c r="T107" s="240">
        <v>35677.551074677103</v>
      </c>
      <c r="U107" s="241" t="s">
        <v>298</v>
      </c>
    </row>
    <row r="108" spans="1:21" s="66" customFormat="1" ht="22.8" x14ac:dyDescent="0.3">
      <c r="A108" s="233">
        <v>14422</v>
      </c>
      <c r="B108" s="233" t="s">
        <v>107</v>
      </c>
      <c r="C108" s="233" t="s">
        <v>83</v>
      </c>
      <c r="D108" s="233">
        <v>16665</v>
      </c>
      <c r="E108" s="233">
        <v>2025</v>
      </c>
      <c r="F108" s="233" t="s">
        <v>275</v>
      </c>
      <c r="G108" s="233">
        <v>2</v>
      </c>
      <c r="H108" s="233">
        <v>6</v>
      </c>
      <c r="I108" s="233" t="s">
        <v>706</v>
      </c>
      <c r="J108" s="234">
        <v>0</v>
      </c>
      <c r="K108" s="235">
        <v>0</v>
      </c>
      <c r="L108" s="236" t="s">
        <v>298</v>
      </c>
      <c r="M108" s="276" t="s">
        <v>319</v>
      </c>
      <c r="N108" s="277"/>
      <c r="O108" s="234">
        <v>0</v>
      </c>
      <c r="P108" s="235">
        <v>0</v>
      </c>
      <c r="Q108" s="236" t="s">
        <v>298</v>
      </c>
      <c r="R108" s="237" t="s">
        <v>319</v>
      </c>
      <c r="S108" s="234">
        <v>0</v>
      </c>
      <c r="T108" s="235">
        <v>0</v>
      </c>
      <c r="U108" s="236" t="s">
        <v>298</v>
      </c>
    </row>
    <row r="109" spans="1:21" s="66" customFormat="1" ht="22.8" x14ac:dyDescent="0.3">
      <c r="A109" s="238">
        <v>11915</v>
      </c>
      <c r="B109" s="238" t="s">
        <v>111</v>
      </c>
      <c r="C109" s="238" t="s">
        <v>83</v>
      </c>
      <c r="D109" s="238">
        <v>16665</v>
      </c>
      <c r="E109" s="238">
        <v>2025</v>
      </c>
      <c r="F109" s="238" t="s">
        <v>275</v>
      </c>
      <c r="G109" s="238">
        <v>2</v>
      </c>
      <c r="H109" s="238">
        <v>6</v>
      </c>
      <c r="I109" s="238" t="s">
        <v>706</v>
      </c>
      <c r="J109" s="239">
        <v>0</v>
      </c>
      <c r="K109" s="240">
        <v>0</v>
      </c>
      <c r="L109" s="241" t="s">
        <v>298</v>
      </c>
      <c r="M109" s="278" t="s">
        <v>319</v>
      </c>
      <c r="N109" s="277"/>
      <c r="O109" s="239">
        <v>0</v>
      </c>
      <c r="P109" s="240">
        <v>0</v>
      </c>
      <c r="Q109" s="241" t="s">
        <v>298</v>
      </c>
      <c r="R109" s="237" t="s">
        <v>319</v>
      </c>
      <c r="S109" s="239">
        <v>0</v>
      </c>
      <c r="T109" s="240">
        <v>0</v>
      </c>
      <c r="U109" s="241" t="s">
        <v>298</v>
      </c>
    </row>
    <row r="110" spans="1:21" s="66" customFormat="1" ht="22.8" x14ac:dyDescent="0.3">
      <c r="A110" s="233">
        <v>14421</v>
      </c>
      <c r="B110" s="233" t="s">
        <v>106</v>
      </c>
      <c r="C110" s="233" t="s">
        <v>83</v>
      </c>
      <c r="D110" s="233">
        <v>16665</v>
      </c>
      <c r="E110" s="233">
        <v>2025</v>
      </c>
      <c r="F110" s="233" t="s">
        <v>275</v>
      </c>
      <c r="G110" s="233">
        <v>2</v>
      </c>
      <c r="H110" s="233">
        <v>6</v>
      </c>
      <c r="I110" s="233" t="s">
        <v>706</v>
      </c>
      <c r="J110" s="234">
        <v>0</v>
      </c>
      <c r="K110" s="235">
        <v>0</v>
      </c>
      <c r="L110" s="236" t="s">
        <v>298</v>
      </c>
      <c r="M110" s="276" t="s">
        <v>319</v>
      </c>
      <c r="N110" s="277"/>
      <c r="O110" s="234">
        <v>0</v>
      </c>
      <c r="P110" s="235">
        <v>0</v>
      </c>
      <c r="Q110" s="236" t="s">
        <v>298</v>
      </c>
      <c r="R110" s="237" t="s">
        <v>319</v>
      </c>
      <c r="S110" s="234">
        <v>2488563</v>
      </c>
      <c r="T110" s="235">
        <v>0</v>
      </c>
      <c r="U110" s="236" t="s">
        <v>298</v>
      </c>
    </row>
    <row r="111" spans="1:21" s="66" customFormat="1" ht="22.8" x14ac:dyDescent="0.3">
      <c r="A111" s="238">
        <v>53</v>
      </c>
      <c r="B111" s="238" t="s">
        <v>93</v>
      </c>
      <c r="C111" s="238" t="s">
        <v>77</v>
      </c>
      <c r="D111" s="238">
        <v>16665</v>
      </c>
      <c r="E111" s="238">
        <v>2025</v>
      </c>
      <c r="F111" s="238" t="s">
        <v>275</v>
      </c>
      <c r="G111" s="238">
        <v>2</v>
      </c>
      <c r="H111" s="238">
        <v>6</v>
      </c>
      <c r="I111" s="238" t="s">
        <v>706</v>
      </c>
      <c r="J111" s="239">
        <v>45321</v>
      </c>
      <c r="K111" s="240">
        <v>436</v>
      </c>
      <c r="L111" s="241" t="s">
        <v>298</v>
      </c>
      <c r="M111" s="278" t="s">
        <v>319</v>
      </c>
      <c r="N111" s="277"/>
      <c r="O111" s="239">
        <v>49204</v>
      </c>
      <c r="P111" s="240">
        <v>734</v>
      </c>
      <c r="Q111" s="241" t="s">
        <v>298</v>
      </c>
      <c r="R111" s="237" t="s">
        <v>319</v>
      </c>
      <c r="S111" s="239">
        <v>6291349</v>
      </c>
      <c r="T111" s="240">
        <v>0</v>
      </c>
      <c r="U111" s="241" t="s">
        <v>298</v>
      </c>
    </row>
    <row r="112" spans="1:21" s="66" customFormat="1" ht="22.8" x14ac:dyDescent="0.3">
      <c r="A112" s="233">
        <v>6546</v>
      </c>
      <c r="B112" s="233" t="s">
        <v>96</v>
      </c>
      <c r="C112" s="233" t="s">
        <v>77</v>
      </c>
      <c r="D112" s="233">
        <v>16665</v>
      </c>
      <c r="E112" s="233">
        <v>2025</v>
      </c>
      <c r="F112" s="233" t="s">
        <v>275</v>
      </c>
      <c r="G112" s="233">
        <v>2</v>
      </c>
      <c r="H112" s="233">
        <v>6</v>
      </c>
      <c r="I112" s="233" t="s">
        <v>706</v>
      </c>
      <c r="J112" s="234">
        <v>3750265.65</v>
      </c>
      <c r="K112" s="235">
        <v>34374.25</v>
      </c>
      <c r="L112" s="236" t="s">
        <v>298</v>
      </c>
      <c r="M112" s="276" t="s">
        <v>319</v>
      </c>
      <c r="N112" s="277"/>
      <c r="O112" s="234">
        <v>484274.31</v>
      </c>
      <c r="P112" s="235">
        <v>6183</v>
      </c>
      <c r="Q112" s="236" t="s">
        <v>298</v>
      </c>
      <c r="R112" s="237" t="s">
        <v>319</v>
      </c>
      <c r="S112" s="234">
        <v>0</v>
      </c>
      <c r="T112" s="235">
        <v>0</v>
      </c>
      <c r="U112" s="236" t="s">
        <v>298</v>
      </c>
    </row>
    <row r="113" spans="1:82" s="66" customFormat="1" ht="22.8" x14ac:dyDescent="0.3">
      <c r="A113" s="238">
        <v>79</v>
      </c>
      <c r="B113" s="238" t="s">
        <v>94</v>
      </c>
      <c r="C113" s="238" t="s">
        <v>77</v>
      </c>
      <c r="D113" s="238">
        <v>16665</v>
      </c>
      <c r="E113" s="238">
        <v>2025</v>
      </c>
      <c r="F113" s="238" t="s">
        <v>275</v>
      </c>
      <c r="G113" s="238">
        <v>2</v>
      </c>
      <c r="H113" s="238">
        <v>6</v>
      </c>
      <c r="I113" s="238" t="s">
        <v>706</v>
      </c>
      <c r="J113" s="239">
        <v>2450644</v>
      </c>
      <c r="K113" s="240">
        <v>25851</v>
      </c>
      <c r="L113" s="241" t="s">
        <v>298</v>
      </c>
      <c r="M113" s="278" t="s">
        <v>319</v>
      </c>
      <c r="N113" s="277"/>
      <c r="O113" s="239">
        <v>1378754</v>
      </c>
      <c r="P113" s="240">
        <v>15681</v>
      </c>
      <c r="Q113" s="241" t="s">
        <v>298</v>
      </c>
      <c r="R113" s="237" t="s">
        <v>319</v>
      </c>
      <c r="S113" s="239">
        <v>12563623</v>
      </c>
      <c r="T113" s="240">
        <v>0</v>
      </c>
      <c r="U113" s="241" t="s">
        <v>298</v>
      </c>
    </row>
    <row r="114" spans="1:82" s="66" customFormat="1" ht="22.8" x14ac:dyDescent="0.3">
      <c r="A114" s="233">
        <v>98</v>
      </c>
      <c r="B114" s="233" t="s">
        <v>92</v>
      </c>
      <c r="C114" s="233" t="s">
        <v>77</v>
      </c>
      <c r="D114" s="233">
        <v>16665</v>
      </c>
      <c r="E114" s="233">
        <v>2025</v>
      </c>
      <c r="F114" s="233" t="s">
        <v>275</v>
      </c>
      <c r="G114" s="233">
        <v>2</v>
      </c>
      <c r="H114" s="233">
        <v>6</v>
      </c>
      <c r="I114" s="233" t="s">
        <v>706</v>
      </c>
      <c r="J114" s="234">
        <v>2313507</v>
      </c>
      <c r="K114" s="235">
        <v>22264</v>
      </c>
      <c r="L114" s="236" t="s">
        <v>298</v>
      </c>
      <c r="M114" s="276" t="s">
        <v>319</v>
      </c>
      <c r="N114" s="277"/>
      <c r="O114" s="234">
        <v>315339</v>
      </c>
      <c r="P114" s="235">
        <v>3385</v>
      </c>
      <c r="Q114" s="236" t="s">
        <v>298</v>
      </c>
      <c r="R114" s="237" t="s">
        <v>319</v>
      </c>
      <c r="S114" s="234">
        <v>7953344</v>
      </c>
      <c r="T114" s="235">
        <v>0</v>
      </c>
      <c r="U114" s="236" t="s">
        <v>298</v>
      </c>
    </row>
    <row r="115" spans="1:82" s="66" customFormat="1" ht="22.8" x14ac:dyDescent="0.3">
      <c r="A115" s="238">
        <v>11801</v>
      </c>
      <c r="B115" s="238" t="s">
        <v>102</v>
      </c>
      <c r="C115" s="238" t="s">
        <v>83</v>
      </c>
      <c r="D115" s="238">
        <v>16665</v>
      </c>
      <c r="E115" s="238">
        <v>2025</v>
      </c>
      <c r="F115" s="238" t="s">
        <v>275</v>
      </c>
      <c r="G115" s="238">
        <v>2</v>
      </c>
      <c r="H115" s="238">
        <v>6</v>
      </c>
      <c r="I115" s="238" t="s">
        <v>706</v>
      </c>
      <c r="J115" s="239">
        <v>17138.47</v>
      </c>
      <c r="K115" s="240">
        <v>203.25</v>
      </c>
      <c r="L115" s="241" t="s">
        <v>298</v>
      </c>
      <c r="M115" s="278" t="s">
        <v>319</v>
      </c>
      <c r="N115" s="277"/>
      <c r="O115" s="239">
        <v>66669.75</v>
      </c>
      <c r="P115" s="240">
        <v>803.25</v>
      </c>
      <c r="Q115" s="241" t="s">
        <v>298</v>
      </c>
      <c r="R115" s="237" t="s">
        <v>319</v>
      </c>
      <c r="S115" s="239">
        <v>219721.27</v>
      </c>
      <c r="T115" s="240">
        <v>4645.75</v>
      </c>
      <c r="U115" s="241" t="s">
        <v>298</v>
      </c>
    </row>
    <row r="116" spans="1:82" s="66" customFormat="1" ht="22.8" x14ac:dyDescent="0.3">
      <c r="A116" s="233">
        <v>99</v>
      </c>
      <c r="B116" s="233" t="s">
        <v>173</v>
      </c>
      <c r="C116" s="233" t="s">
        <v>77</v>
      </c>
      <c r="D116" s="233">
        <v>22350</v>
      </c>
      <c r="E116" s="233">
        <v>2025</v>
      </c>
      <c r="F116" s="233" t="s">
        <v>275</v>
      </c>
      <c r="G116" s="233">
        <v>2</v>
      </c>
      <c r="H116" s="233">
        <v>6</v>
      </c>
      <c r="I116" s="233" t="s">
        <v>706</v>
      </c>
      <c r="J116" s="234">
        <v>0</v>
      </c>
      <c r="K116" s="235"/>
      <c r="L116" s="236"/>
      <c r="M116" s="276"/>
      <c r="N116" s="277"/>
      <c r="O116" s="234">
        <v>1411000</v>
      </c>
      <c r="P116" s="235">
        <v>0</v>
      </c>
      <c r="Q116" s="236" t="s">
        <v>298</v>
      </c>
      <c r="R116" s="237"/>
      <c r="S116" s="234">
        <v>0</v>
      </c>
      <c r="T116" s="235">
        <v>0</v>
      </c>
      <c r="U116" s="236"/>
    </row>
    <row r="117" spans="1:82" s="66" customFormat="1" ht="22.8" x14ac:dyDescent="0.3">
      <c r="A117" s="238">
        <v>22406</v>
      </c>
      <c r="B117" s="238" t="s">
        <v>701</v>
      </c>
      <c r="C117" s="238" t="s">
        <v>83</v>
      </c>
      <c r="D117" s="238">
        <v>22350</v>
      </c>
      <c r="E117" s="238">
        <v>2025</v>
      </c>
      <c r="F117" s="238" t="s">
        <v>275</v>
      </c>
      <c r="G117" s="238">
        <v>2</v>
      </c>
      <c r="H117" s="238">
        <v>6</v>
      </c>
      <c r="I117" s="238" t="s">
        <v>706</v>
      </c>
      <c r="J117" s="239">
        <v>0</v>
      </c>
      <c r="K117" s="240"/>
      <c r="L117" s="241"/>
      <c r="M117" s="278"/>
      <c r="N117" s="277"/>
      <c r="O117" s="239">
        <v>708000</v>
      </c>
      <c r="P117" s="240">
        <v>0</v>
      </c>
      <c r="Q117" s="241" t="s">
        <v>298</v>
      </c>
      <c r="R117" s="237"/>
      <c r="S117" s="239">
        <v>0</v>
      </c>
      <c r="T117" s="240">
        <v>0</v>
      </c>
      <c r="U117" s="241"/>
    </row>
    <row r="118" spans="1:82" s="66" customFormat="1" ht="22.8" x14ac:dyDescent="0.3">
      <c r="A118" s="233">
        <v>114</v>
      </c>
      <c r="B118" s="233" t="s">
        <v>177</v>
      </c>
      <c r="C118" s="233" t="s">
        <v>77</v>
      </c>
      <c r="D118" s="233">
        <v>22350</v>
      </c>
      <c r="E118" s="233">
        <v>2025</v>
      </c>
      <c r="F118" s="233" t="s">
        <v>275</v>
      </c>
      <c r="G118" s="233">
        <v>2</v>
      </c>
      <c r="H118" s="233">
        <v>6</v>
      </c>
      <c r="I118" s="233" t="s">
        <v>706</v>
      </c>
      <c r="J118" s="234">
        <v>0</v>
      </c>
      <c r="K118" s="235"/>
      <c r="L118" s="236"/>
      <c r="M118" s="276"/>
      <c r="N118" s="277"/>
      <c r="O118" s="234">
        <v>1228000</v>
      </c>
      <c r="P118" s="235">
        <v>0</v>
      </c>
      <c r="Q118" s="236" t="s">
        <v>298</v>
      </c>
      <c r="R118" s="237"/>
      <c r="S118" s="234">
        <v>0</v>
      </c>
      <c r="T118" s="235">
        <v>0</v>
      </c>
      <c r="U118" s="236"/>
    </row>
    <row r="119" spans="1:82" s="66" customFormat="1" ht="22.8" x14ac:dyDescent="0.3">
      <c r="A119" s="238">
        <v>22350</v>
      </c>
      <c r="B119" s="238" t="s">
        <v>174</v>
      </c>
      <c r="C119" s="238" t="s">
        <v>75</v>
      </c>
      <c r="D119" s="238">
        <v>22350</v>
      </c>
      <c r="E119" s="238">
        <v>2025</v>
      </c>
      <c r="F119" s="238" t="s">
        <v>275</v>
      </c>
      <c r="G119" s="238">
        <v>2</v>
      </c>
      <c r="H119" s="238">
        <v>6</v>
      </c>
      <c r="I119" s="238" t="s">
        <v>706</v>
      </c>
      <c r="J119" s="239">
        <v>0</v>
      </c>
      <c r="K119" s="240"/>
      <c r="L119" s="241"/>
      <c r="M119" s="278"/>
      <c r="N119" s="277"/>
      <c r="O119" s="239">
        <v>0</v>
      </c>
      <c r="P119" s="240">
        <v>0</v>
      </c>
      <c r="Q119" s="241"/>
      <c r="R119" s="237"/>
      <c r="S119" s="239">
        <v>0</v>
      </c>
      <c r="T119" s="240">
        <v>0</v>
      </c>
      <c r="U119" s="241"/>
    </row>
    <row r="120" spans="1:82" s="66" customFormat="1" ht="22.8" x14ac:dyDescent="0.3">
      <c r="A120" s="14">
        <v>51</v>
      </c>
      <c r="B120" s="14" t="s">
        <v>129</v>
      </c>
      <c r="C120" s="14" t="s">
        <v>77</v>
      </c>
      <c r="D120" s="14">
        <v>13155</v>
      </c>
      <c r="E120" s="14">
        <v>2026</v>
      </c>
      <c r="F120" s="14" t="s">
        <v>275</v>
      </c>
      <c r="G120" s="14">
        <v>2</v>
      </c>
      <c r="H120" s="14">
        <v>6</v>
      </c>
      <c r="I120" s="14" t="s">
        <v>703</v>
      </c>
      <c r="J120" s="96">
        <v>213037</v>
      </c>
      <c r="K120" s="97">
        <v>32.520000000000003</v>
      </c>
      <c r="L120" s="88" t="s">
        <v>298</v>
      </c>
      <c r="M120" s="88" t="s">
        <v>313</v>
      </c>
      <c r="N120" s="96">
        <v>3593189</v>
      </c>
      <c r="O120" s="97">
        <v>857467</v>
      </c>
      <c r="P120" s="88" t="s">
        <v>298</v>
      </c>
      <c r="Q120" s="99" t="s">
        <v>312</v>
      </c>
      <c r="R120" s="96">
        <v>0</v>
      </c>
      <c r="S120" s="97">
        <v>0</v>
      </c>
      <c r="T120" s="88"/>
      <c r="U120" s="88"/>
    </row>
    <row r="121" spans="1:82" s="66" customFormat="1" ht="34.200000000000003" x14ac:dyDescent="0.3">
      <c r="A121" s="57">
        <v>13155</v>
      </c>
      <c r="B121" s="57" t="s">
        <v>127</v>
      </c>
      <c r="C121" s="57" t="s">
        <v>75</v>
      </c>
      <c r="D121" s="57">
        <v>13155</v>
      </c>
      <c r="E121" s="57">
        <v>2026</v>
      </c>
      <c r="F121" s="57" t="s">
        <v>275</v>
      </c>
      <c r="G121" s="57">
        <v>2</v>
      </c>
      <c r="H121" s="57">
        <v>6</v>
      </c>
      <c r="I121" s="57" t="s">
        <v>703</v>
      </c>
      <c r="J121" s="100">
        <v>213037</v>
      </c>
      <c r="K121" s="101">
        <v>32.520000000000003</v>
      </c>
      <c r="L121" s="87" t="s">
        <v>298</v>
      </c>
      <c r="M121" s="87" t="s">
        <v>312</v>
      </c>
      <c r="N121" s="100">
        <v>3593189</v>
      </c>
      <c r="O121" s="101">
        <v>857467</v>
      </c>
      <c r="P121" s="87" t="s">
        <v>298</v>
      </c>
      <c r="Q121" s="99" t="s">
        <v>312</v>
      </c>
      <c r="R121" s="100">
        <v>0</v>
      </c>
      <c r="S121" s="101">
        <v>0</v>
      </c>
      <c r="T121" s="87"/>
      <c r="U121" s="87"/>
    </row>
    <row r="122" spans="1:82" s="66" customFormat="1" ht="14.4" x14ac:dyDescent="0.3">
      <c r="A122" s="14"/>
      <c r="B122" s="14"/>
      <c r="C122" s="14"/>
      <c r="D122" s="14"/>
      <c r="E122" s="14"/>
      <c r="F122" s="14"/>
      <c r="G122" s="14"/>
      <c r="H122" s="14"/>
      <c r="I122" s="14"/>
      <c r="J122" s="96"/>
      <c r="K122" s="96"/>
      <c r="L122" s="96"/>
    </row>
    <row r="123" spans="1:82" s="66" customFormat="1" ht="14.4" x14ac:dyDescent="0.3">
      <c r="A123" s="57"/>
      <c r="B123" s="57"/>
      <c r="C123" s="57"/>
      <c r="D123" s="57"/>
      <c r="E123" s="57"/>
      <c r="F123" s="57"/>
      <c r="G123" s="57"/>
      <c r="H123" s="57"/>
      <c r="I123" s="57"/>
      <c r="J123" s="100"/>
      <c r="K123" s="100"/>
      <c r="L123" s="100"/>
    </row>
    <row r="124" spans="1:82" s="66" customFormat="1" ht="14.4" x14ac:dyDescent="0.3">
      <c r="A124" s="14"/>
      <c r="B124" s="14"/>
      <c r="C124" s="14"/>
      <c r="D124" s="14"/>
      <c r="E124" s="14"/>
      <c r="F124" s="14"/>
      <c r="G124" s="14"/>
      <c r="H124" s="14"/>
      <c r="I124" s="14"/>
      <c r="J124" s="96"/>
      <c r="K124" s="96"/>
      <c r="L124" s="96"/>
    </row>
    <row r="125" spans="1:82" s="66" customFormat="1" ht="14.4" x14ac:dyDescent="0.3">
      <c r="A125" s="57"/>
      <c r="B125" s="57"/>
      <c r="C125" s="57"/>
      <c r="D125" s="57"/>
      <c r="E125" s="57"/>
      <c r="F125" s="57"/>
      <c r="G125" s="57"/>
      <c r="H125" s="57"/>
      <c r="I125" s="57"/>
      <c r="J125" s="100"/>
      <c r="K125" s="100"/>
      <c r="L125" s="100"/>
    </row>
    <row r="126" spans="1:82" s="66" customFormat="1" ht="14.4" x14ac:dyDescent="0.3">
      <c r="A126" s="14"/>
      <c r="B126" s="14"/>
      <c r="C126" s="14"/>
      <c r="D126" s="14"/>
      <c r="E126" s="14"/>
      <c r="F126" s="14"/>
      <c r="G126" s="14"/>
      <c r="H126" s="14"/>
      <c r="I126" s="14"/>
      <c r="J126" s="96"/>
      <c r="K126" s="96"/>
      <c r="L126" s="96"/>
    </row>
    <row r="127" spans="1:82" s="66" customFormat="1" ht="14.4" x14ac:dyDescent="0.3">
      <c r="A127" s="57"/>
      <c r="B127" s="57"/>
      <c r="C127" s="57"/>
      <c r="D127" s="57"/>
      <c r="E127" s="57"/>
      <c r="F127" s="57"/>
      <c r="G127" s="57"/>
      <c r="H127" s="57"/>
      <c r="I127" s="57"/>
      <c r="J127" s="100"/>
      <c r="K127" s="100"/>
      <c r="L127" s="100"/>
      <c r="M127" s="13"/>
      <c r="N127" s="13"/>
      <c r="O127" s="13"/>
      <c r="P127" s="13"/>
      <c r="Q127" s="13"/>
      <c r="R127" s="13"/>
      <c r="S127" s="13"/>
      <c r="T127" s="13"/>
      <c r="U127" s="13"/>
      <c r="V127" s="13"/>
      <c r="W127" s="13"/>
      <c r="X127" s="13"/>
      <c r="Y127" s="13"/>
      <c r="Z127" s="13"/>
      <c r="AA127" s="13"/>
      <c r="AB127" s="13"/>
      <c r="AC127" s="13"/>
      <c r="AD127" s="13"/>
      <c r="AE127" s="13"/>
      <c r="AF127" s="13"/>
      <c r="AG127" s="13"/>
      <c r="AH127" s="13"/>
      <c r="AI127" s="13"/>
      <c r="AJ127" s="13"/>
      <c r="AK127" s="13"/>
      <c r="AL127" s="13"/>
      <c r="AM127" s="13"/>
      <c r="AN127" s="13"/>
      <c r="AO127" s="13"/>
      <c r="AP127" s="13"/>
      <c r="AQ127" s="13"/>
      <c r="AR127" s="13"/>
      <c r="AS127" s="13"/>
      <c r="AT127" s="13"/>
      <c r="AU127" s="13"/>
      <c r="AV127" s="13"/>
      <c r="AW127" s="13"/>
      <c r="AX127" s="13"/>
      <c r="AY127" s="13"/>
      <c r="AZ127" s="13"/>
      <c r="BA127" s="13"/>
      <c r="BB127" s="13"/>
      <c r="BC127" s="13"/>
      <c r="BD127" s="13"/>
      <c r="BE127" s="13"/>
      <c r="BF127" s="13"/>
      <c r="BG127" s="13"/>
      <c r="BH127" s="13"/>
      <c r="BI127" s="13"/>
      <c r="BJ127" s="13"/>
      <c r="BK127" s="13"/>
      <c r="BL127" s="13"/>
      <c r="BM127" s="13"/>
      <c r="BN127" s="13"/>
      <c r="BO127" s="13"/>
      <c r="BP127" s="13"/>
      <c r="BQ127" s="13"/>
      <c r="BR127" s="13"/>
      <c r="BS127" s="13"/>
      <c r="BT127" s="13"/>
      <c r="BU127" s="13"/>
      <c r="BV127" s="13"/>
      <c r="BW127" s="13"/>
      <c r="BX127" s="13"/>
      <c r="BY127" s="13"/>
      <c r="BZ127" s="13"/>
      <c r="CA127" s="13"/>
      <c r="CB127" s="13"/>
      <c r="CC127" s="13"/>
      <c r="CD127" s="13"/>
    </row>
    <row r="128" spans="1:82" s="66" customFormat="1" ht="14.4" x14ac:dyDescent="0.3">
      <c r="A128" s="14"/>
      <c r="B128" s="14"/>
      <c r="C128" s="14"/>
      <c r="D128" s="14"/>
      <c r="E128" s="14"/>
      <c r="F128" s="14"/>
      <c r="G128" s="14"/>
      <c r="H128" s="14"/>
      <c r="I128" s="14"/>
      <c r="J128" s="96"/>
      <c r="K128" s="96"/>
      <c r="L128" s="96"/>
      <c r="M128" s="13"/>
      <c r="N128" s="13"/>
      <c r="O128" s="13"/>
      <c r="P128" s="13"/>
      <c r="Q128" s="13"/>
      <c r="R128" s="13"/>
      <c r="S128" s="13"/>
      <c r="T128" s="13"/>
      <c r="U128" s="13"/>
      <c r="V128" s="13"/>
      <c r="W128" s="13"/>
      <c r="X128" s="13"/>
      <c r="Y128" s="13"/>
      <c r="Z128" s="13"/>
      <c r="AA128" s="13"/>
      <c r="AB128" s="13"/>
      <c r="AC128" s="13"/>
      <c r="AD128" s="13"/>
      <c r="AE128" s="13"/>
      <c r="AF128" s="13"/>
      <c r="AG128" s="13"/>
      <c r="AH128" s="13"/>
      <c r="AI128" s="13"/>
      <c r="AJ128" s="13"/>
      <c r="AK128" s="13"/>
      <c r="AL128" s="13"/>
      <c r="AM128" s="13"/>
      <c r="AN128" s="13"/>
      <c r="AO128" s="13"/>
      <c r="AP128" s="13"/>
      <c r="AQ128" s="13"/>
      <c r="AR128" s="13"/>
      <c r="AS128" s="13"/>
      <c r="AT128" s="13"/>
      <c r="AU128" s="13"/>
      <c r="AV128" s="13"/>
      <c r="AW128" s="13"/>
      <c r="AX128" s="13"/>
      <c r="AY128" s="13"/>
      <c r="AZ128" s="13"/>
      <c r="BA128" s="13"/>
      <c r="BB128" s="13"/>
      <c r="BC128" s="13"/>
      <c r="BD128" s="13"/>
      <c r="BE128" s="13"/>
      <c r="BF128" s="13"/>
      <c r="BG128" s="13"/>
      <c r="BH128" s="13"/>
      <c r="BI128" s="13"/>
      <c r="BJ128" s="13"/>
      <c r="BK128" s="13"/>
      <c r="BL128" s="13"/>
      <c r="BM128" s="13"/>
      <c r="BN128" s="13"/>
      <c r="BO128" s="13"/>
      <c r="BP128" s="13"/>
      <c r="BQ128" s="13"/>
      <c r="BR128" s="13"/>
      <c r="BS128" s="13"/>
      <c r="BT128" s="13"/>
      <c r="BU128" s="13"/>
      <c r="BV128" s="13"/>
      <c r="BW128" s="13"/>
      <c r="BX128" s="13"/>
      <c r="BY128" s="13"/>
      <c r="BZ128" s="13"/>
      <c r="CA128" s="13"/>
      <c r="CB128" s="13"/>
      <c r="CC128" s="13"/>
      <c r="CD128" s="13"/>
    </row>
    <row r="129" spans="1:82" s="66" customFormat="1" ht="14.4" x14ac:dyDescent="0.3">
      <c r="A129" s="57"/>
      <c r="B129" s="57"/>
      <c r="C129" s="57"/>
      <c r="D129" s="57"/>
      <c r="E129" s="57"/>
      <c r="F129" s="57"/>
      <c r="G129" s="57"/>
      <c r="H129" s="57"/>
      <c r="I129" s="57"/>
      <c r="J129" s="100"/>
      <c r="K129" s="100"/>
      <c r="L129" s="100"/>
      <c r="M129" s="13"/>
      <c r="N129" s="13"/>
      <c r="O129" s="13"/>
      <c r="P129" s="13"/>
      <c r="Q129" s="13"/>
      <c r="R129" s="13"/>
      <c r="S129" s="13"/>
      <c r="T129" s="13"/>
      <c r="U129" s="13"/>
      <c r="V129" s="13"/>
      <c r="W129" s="13"/>
      <c r="X129" s="13"/>
      <c r="Y129" s="13"/>
      <c r="Z129" s="13"/>
      <c r="AA129" s="13"/>
      <c r="AB129" s="13"/>
      <c r="AC129" s="13"/>
      <c r="AD129" s="13"/>
      <c r="AE129" s="13"/>
      <c r="AF129" s="13"/>
      <c r="AG129" s="13"/>
      <c r="AH129" s="13"/>
      <c r="AI129" s="13"/>
      <c r="AJ129" s="13"/>
      <c r="AK129" s="13"/>
      <c r="AL129" s="13"/>
      <c r="AM129" s="13"/>
      <c r="AN129" s="13"/>
      <c r="AO129" s="13"/>
      <c r="AP129" s="13"/>
      <c r="AQ129" s="13"/>
      <c r="AR129" s="13"/>
      <c r="AS129" s="13"/>
      <c r="AT129" s="13"/>
      <c r="AU129" s="13"/>
      <c r="AV129" s="13"/>
      <c r="AW129" s="13"/>
      <c r="AX129" s="13"/>
      <c r="AY129" s="13"/>
      <c r="AZ129" s="13"/>
      <c r="BA129" s="13"/>
      <c r="BB129" s="13"/>
      <c r="BC129" s="13"/>
      <c r="BD129" s="13"/>
      <c r="BE129" s="13"/>
      <c r="BF129" s="13"/>
      <c r="BG129" s="13"/>
      <c r="BH129" s="13"/>
      <c r="BI129" s="13"/>
      <c r="BJ129" s="13"/>
      <c r="BK129" s="13"/>
      <c r="BL129" s="13"/>
      <c r="BM129" s="13"/>
      <c r="BN129" s="13"/>
      <c r="BO129" s="13"/>
      <c r="BP129" s="13"/>
      <c r="BQ129" s="13"/>
      <c r="BR129" s="13"/>
      <c r="BS129" s="13"/>
      <c r="BT129" s="13"/>
      <c r="BU129" s="13"/>
      <c r="BV129" s="13"/>
      <c r="BW129" s="13"/>
      <c r="BX129" s="13"/>
      <c r="BY129" s="13"/>
      <c r="BZ129" s="13"/>
      <c r="CA129" s="13"/>
      <c r="CB129" s="13"/>
      <c r="CC129" s="13"/>
      <c r="CD129" s="13"/>
    </row>
    <row r="130" spans="1:82" s="66" customFormat="1" ht="14.4" x14ac:dyDescent="0.3">
      <c r="A130" s="14"/>
      <c r="B130" s="14"/>
      <c r="C130" s="14"/>
      <c r="D130" s="14"/>
      <c r="E130" s="14"/>
      <c r="F130" s="14"/>
      <c r="G130" s="14"/>
      <c r="H130" s="14"/>
      <c r="I130" s="14"/>
      <c r="J130" s="96"/>
      <c r="K130" s="96"/>
      <c r="L130" s="96"/>
      <c r="M130" s="13"/>
      <c r="N130" s="13"/>
      <c r="O130" s="13"/>
      <c r="P130" s="13"/>
      <c r="Q130" s="13"/>
      <c r="R130" s="13"/>
      <c r="S130" s="13"/>
      <c r="T130" s="13"/>
      <c r="U130" s="13"/>
      <c r="V130" s="13"/>
      <c r="W130" s="13"/>
      <c r="X130" s="13"/>
      <c r="Y130" s="13"/>
      <c r="Z130" s="13"/>
      <c r="AA130" s="13"/>
      <c r="AB130" s="13"/>
      <c r="AC130" s="13"/>
      <c r="AD130" s="13"/>
      <c r="AE130" s="13"/>
      <c r="AF130" s="13"/>
      <c r="AG130" s="13"/>
      <c r="AH130" s="13"/>
      <c r="AI130" s="13"/>
      <c r="AJ130" s="13"/>
      <c r="AK130" s="13"/>
      <c r="AL130" s="13"/>
      <c r="AM130" s="13"/>
      <c r="AN130" s="13"/>
      <c r="AO130" s="13"/>
      <c r="AP130" s="13"/>
      <c r="AQ130" s="13"/>
      <c r="AR130" s="13"/>
      <c r="AS130" s="13"/>
      <c r="AT130" s="13"/>
      <c r="AU130" s="13"/>
      <c r="AV130" s="13"/>
      <c r="AW130" s="13"/>
      <c r="AX130" s="13"/>
      <c r="AY130" s="13"/>
      <c r="AZ130" s="13"/>
      <c r="BA130" s="13"/>
      <c r="BB130" s="13"/>
      <c r="BC130" s="13"/>
      <c r="BD130" s="13"/>
      <c r="BE130" s="13"/>
      <c r="BF130" s="13"/>
      <c r="BG130" s="13"/>
      <c r="BH130" s="13"/>
      <c r="BI130" s="13"/>
      <c r="BJ130" s="13"/>
      <c r="BK130" s="13"/>
      <c r="BL130" s="13"/>
      <c r="BM130" s="13"/>
      <c r="BN130" s="13"/>
      <c r="BO130" s="13"/>
      <c r="BP130" s="13"/>
      <c r="BQ130" s="13"/>
      <c r="BR130" s="13"/>
      <c r="BS130" s="13"/>
      <c r="BT130" s="13"/>
      <c r="BU130" s="13"/>
      <c r="BV130" s="13"/>
      <c r="BW130" s="13"/>
      <c r="BX130" s="13"/>
      <c r="BY130" s="13"/>
      <c r="BZ130" s="13"/>
      <c r="CA130" s="13"/>
      <c r="CB130" s="13"/>
      <c r="CC130" s="13"/>
      <c r="CD130" s="13"/>
    </row>
    <row r="131" spans="1:82" s="66" customFormat="1" ht="14.4" x14ac:dyDescent="0.3">
      <c r="A131" s="57"/>
      <c r="B131" s="57"/>
      <c r="C131" s="57"/>
      <c r="D131" s="57"/>
      <c r="E131" s="57"/>
      <c r="F131" s="57"/>
      <c r="G131" s="57"/>
      <c r="H131" s="57"/>
      <c r="I131" s="57"/>
      <c r="J131" s="100"/>
      <c r="K131" s="100"/>
      <c r="L131" s="100"/>
      <c r="M131" s="13"/>
      <c r="N131" s="13"/>
      <c r="O131" s="13"/>
      <c r="P131" s="13"/>
      <c r="Q131" s="13"/>
      <c r="R131" s="13"/>
      <c r="S131" s="13"/>
      <c r="T131" s="13"/>
      <c r="U131" s="13"/>
      <c r="V131" s="13"/>
      <c r="W131" s="13"/>
      <c r="X131" s="13"/>
      <c r="Y131" s="13"/>
      <c r="Z131" s="13"/>
      <c r="AA131" s="13"/>
      <c r="AB131" s="13"/>
      <c r="AC131" s="13"/>
      <c r="AD131" s="13"/>
      <c r="AE131" s="13"/>
      <c r="AF131" s="13"/>
      <c r="AG131" s="13"/>
      <c r="AH131" s="13"/>
      <c r="AI131" s="13"/>
      <c r="AJ131" s="13"/>
      <c r="AK131" s="13"/>
      <c r="AL131" s="13"/>
      <c r="AM131" s="13"/>
      <c r="AN131" s="13"/>
      <c r="AO131" s="13"/>
      <c r="AP131" s="13"/>
      <c r="AQ131" s="13"/>
      <c r="AR131" s="13"/>
      <c r="AS131" s="13"/>
      <c r="AT131" s="13"/>
      <c r="AU131" s="13"/>
      <c r="AV131" s="13"/>
      <c r="AW131" s="13"/>
      <c r="AX131" s="13"/>
      <c r="AY131" s="13"/>
      <c r="AZ131" s="13"/>
      <c r="BA131" s="13"/>
      <c r="BB131" s="13"/>
      <c r="BC131" s="13"/>
      <c r="BD131" s="13"/>
      <c r="BE131" s="13"/>
      <c r="BF131" s="13"/>
      <c r="BG131" s="13"/>
      <c r="BH131" s="13"/>
      <c r="BI131" s="13"/>
      <c r="BJ131" s="13"/>
      <c r="BK131" s="13"/>
      <c r="BL131" s="13"/>
      <c r="BM131" s="13"/>
      <c r="BN131" s="13"/>
      <c r="BO131" s="13"/>
      <c r="BP131" s="13"/>
      <c r="BQ131" s="13"/>
      <c r="BR131" s="13"/>
      <c r="BS131" s="13"/>
      <c r="BT131" s="13"/>
      <c r="BU131" s="13"/>
      <c r="BV131" s="13"/>
      <c r="BW131" s="13"/>
      <c r="BX131" s="13"/>
      <c r="BY131" s="13"/>
      <c r="BZ131" s="13"/>
      <c r="CA131" s="13"/>
      <c r="CB131" s="13"/>
      <c r="CC131" s="13"/>
      <c r="CD131" s="13"/>
    </row>
    <row r="132" spans="1:82" s="42" customFormat="1" ht="14.4" x14ac:dyDescent="0.3">
      <c r="A132" s="57"/>
      <c r="B132" s="57"/>
      <c r="C132" s="57"/>
      <c r="D132" s="57"/>
      <c r="E132" s="57"/>
      <c r="F132" s="57"/>
      <c r="G132" s="57"/>
      <c r="H132" s="57"/>
      <c r="I132" s="57"/>
      <c r="J132" s="100"/>
      <c r="K132" s="100"/>
      <c r="L132" s="100"/>
      <c r="M132" s="100"/>
      <c r="N132" s="112"/>
      <c r="O132" s="100"/>
      <c r="P132" s="100"/>
      <c r="Q132" s="104"/>
      <c r="R132" s="100"/>
      <c r="S132" s="100"/>
      <c r="T132" s="100"/>
      <c r="U132" s="100"/>
      <c r="V132" s="100"/>
      <c r="W132" s="104"/>
      <c r="X132" s="100"/>
      <c r="Y132" s="104"/>
      <c r="Z132" s="104"/>
      <c r="AA132" s="100"/>
      <c r="AB132" s="100"/>
      <c r="AC132" s="100"/>
      <c r="AD132" s="100"/>
      <c r="AE132" s="104"/>
      <c r="AF132" s="100"/>
      <c r="AG132" s="100"/>
      <c r="AH132" s="100"/>
      <c r="AI132" s="104"/>
      <c r="AJ132" s="104"/>
      <c r="AK132" s="100"/>
      <c r="AL132" s="100"/>
      <c r="AM132" s="100"/>
      <c r="AN132" s="104"/>
      <c r="AO132" s="104"/>
      <c r="AP132" s="100"/>
      <c r="AQ132" s="100"/>
      <c r="AR132" s="100"/>
      <c r="AS132" s="100"/>
      <c r="AT132" s="100"/>
      <c r="AU132" s="100"/>
      <c r="AV132" s="104"/>
      <c r="AW132" s="100"/>
      <c r="AX132" s="100"/>
      <c r="AY132" s="100"/>
      <c r="AZ132" s="100"/>
      <c r="BA132" s="100"/>
      <c r="BB132" s="104"/>
      <c r="BC132" s="104"/>
      <c r="BD132" s="100"/>
      <c r="BE132" s="100"/>
      <c r="BF132" s="100"/>
      <c r="BG132" s="100"/>
      <c r="BH132" s="100"/>
      <c r="BI132" s="100"/>
      <c r="BJ132" s="100"/>
      <c r="BK132" s="104"/>
      <c r="BL132" s="104"/>
      <c r="BM132" s="100"/>
      <c r="BN132" s="100"/>
      <c r="BO132" s="100"/>
      <c r="BP132" s="100"/>
      <c r="BQ132" s="100"/>
      <c r="BR132" s="104"/>
      <c r="BS132" s="109"/>
      <c r="BT132" s="109"/>
      <c r="BU132" s="109"/>
      <c r="BV132" s="106"/>
      <c r="BW132" s="107"/>
      <c r="BX132" s="107"/>
      <c r="BY132" s="108"/>
      <c r="BZ132" s="109"/>
      <c r="CA132" s="109"/>
      <c r="CB132" s="110"/>
      <c r="CC132" s="13"/>
      <c r="CD132" s="13"/>
    </row>
    <row r="133" spans="1:82" s="42" customFormat="1" ht="14.4" x14ac:dyDescent="0.3">
      <c r="A133" s="14"/>
      <c r="B133" s="14"/>
      <c r="C133" s="14"/>
      <c r="D133" s="14"/>
      <c r="E133" s="14"/>
      <c r="F133" s="14"/>
      <c r="G133" s="14"/>
      <c r="H133" s="14"/>
      <c r="I133" s="14"/>
      <c r="J133" s="96"/>
      <c r="K133" s="96"/>
      <c r="L133" s="96"/>
      <c r="M133" s="96"/>
      <c r="N133" s="103"/>
      <c r="O133" s="96"/>
      <c r="P133" s="96"/>
      <c r="Q133" s="104"/>
      <c r="R133" s="96"/>
      <c r="S133" s="96"/>
      <c r="T133" s="96"/>
      <c r="U133" s="96"/>
      <c r="V133" s="96"/>
      <c r="W133" s="104"/>
      <c r="X133" s="96"/>
      <c r="Y133" s="104"/>
      <c r="Z133" s="104"/>
      <c r="AA133" s="96"/>
      <c r="AB133" s="96"/>
      <c r="AC133" s="96"/>
      <c r="AD133" s="96"/>
      <c r="AE133" s="104"/>
      <c r="AF133" s="96"/>
      <c r="AG133" s="96"/>
      <c r="AH133" s="96"/>
      <c r="AI133" s="104"/>
      <c r="AJ133" s="104"/>
      <c r="AK133" s="96"/>
      <c r="AL133" s="96"/>
      <c r="AM133" s="96"/>
      <c r="AN133" s="104"/>
      <c r="AO133" s="104"/>
      <c r="AP133" s="96"/>
      <c r="AQ133" s="96"/>
      <c r="AR133" s="96"/>
      <c r="AS133" s="96"/>
      <c r="AT133" s="96"/>
      <c r="AU133" s="96"/>
      <c r="AV133" s="104"/>
      <c r="AW133" s="96"/>
      <c r="AX133" s="96"/>
      <c r="AY133" s="96"/>
      <c r="AZ133" s="96"/>
      <c r="BA133" s="96"/>
      <c r="BB133" s="104"/>
      <c r="BC133" s="104"/>
      <c r="BD133" s="96"/>
      <c r="BE133" s="96"/>
      <c r="BF133" s="96"/>
      <c r="BG133" s="96"/>
      <c r="BH133" s="96"/>
      <c r="BI133" s="96"/>
      <c r="BJ133" s="96"/>
      <c r="BK133" s="104"/>
      <c r="BL133" s="104"/>
      <c r="BM133" s="96"/>
      <c r="BN133" s="96"/>
      <c r="BO133" s="96"/>
      <c r="BP133" s="96"/>
      <c r="BQ133" s="96"/>
      <c r="BR133" s="104"/>
      <c r="BS133" s="109"/>
      <c r="BT133" s="109"/>
      <c r="BU133" s="109"/>
      <c r="BV133" s="106"/>
      <c r="BW133" s="107"/>
      <c r="BX133" s="107"/>
      <c r="BY133" s="108"/>
      <c r="BZ133" s="109"/>
      <c r="CA133" s="109"/>
      <c r="CB133" s="110"/>
      <c r="CC133" s="13"/>
      <c r="CD133" s="13"/>
    </row>
    <row r="134" spans="1:82" s="42" customFormat="1" ht="14.4" x14ac:dyDescent="0.3">
      <c r="A134" s="57"/>
      <c r="B134" s="57"/>
      <c r="C134" s="57"/>
      <c r="D134" s="57"/>
      <c r="E134" s="57"/>
      <c r="F134" s="57"/>
      <c r="G134" s="57"/>
      <c r="H134" s="57"/>
      <c r="I134" s="57"/>
      <c r="J134" s="100"/>
      <c r="K134" s="100"/>
      <c r="L134" s="100"/>
      <c r="M134" s="100"/>
      <c r="N134" s="112"/>
      <c r="O134" s="100"/>
      <c r="P134" s="100"/>
      <c r="Q134" s="104"/>
      <c r="R134" s="100"/>
      <c r="S134" s="100"/>
      <c r="T134" s="100"/>
      <c r="U134" s="100"/>
      <c r="V134" s="100"/>
      <c r="W134" s="104"/>
      <c r="X134" s="100"/>
      <c r="Y134" s="104"/>
      <c r="Z134" s="104"/>
      <c r="AA134" s="100"/>
      <c r="AB134" s="100"/>
      <c r="AC134" s="100"/>
      <c r="AD134" s="100"/>
      <c r="AE134" s="104"/>
      <c r="AF134" s="100"/>
      <c r="AG134" s="100"/>
      <c r="AH134" s="100"/>
      <c r="AI134" s="104"/>
      <c r="AJ134" s="104"/>
      <c r="AK134" s="100"/>
      <c r="AL134" s="100"/>
      <c r="AM134" s="100"/>
      <c r="AN134" s="104"/>
      <c r="AO134" s="104"/>
      <c r="AP134" s="100"/>
      <c r="AQ134" s="100"/>
      <c r="AR134" s="100"/>
      <c r="AS134" s="100"/>
      <c r="AT134" s="100"/>
      <c r="AU134" s="100"/>
      <c r="AV134" s="104"/>
      <c r="AW134" s="100"/>
      <c r="AX134" s="100"/>
      <c r="AY134" s="100"/>
      <c r="AZ134" s="100"/>
      <c r="BA134" s="100"/>
      <c r="BB134" s="104"/>
      <c r="BC134" s="104"/>
      <c r="BD134" s="100"/>
      <c r="BE134" s="100"/>
      <c r="BF134" s="100"/>
      <c r="BG134" s="100"/>
      <c r="BH134" s="100"/>
      <c r="BI134" s="100"/>
      <c r="BJ134" s="100"/>
      <c r="BK134" s="104"/>
      <c r="BL134" s="104"/>
      <c r="BM134" s="100"/>
      <c r="BN134" s="100"/>
      <c r="BO134" s="100"/>
      <c r="BP134" s="100"/>
      <c r="BQ134" s="100"/>
      <c r="BR134" s="104"/>
      <c r="BS134" s="109"/>
      <c r="BT134" s="109"/>
      <c r="BU134" s="109"/>
      <c r="BV134" s="106"/>
      <c r="BW134" s="107"/>
      <c r="BX134" s="107"/>
      <c r="BY134" s="108"/>
      <c r="BZ134" s="109"/>
      <c r="CA134" s="109"/>
      <c r="CB134" s="110"/>
      <c r="CC134" s="13"/>
      <c r="CD134" s="13"/>
    </row>
    <row r="135" spans="1:82" s="42" customFormat="1" ht="14.4" x14ac:dyDescent="0.3">
      <c r="A135" s="14"/>
      <c r="B135" s="14"/>
      <c r="C135" s="14"/>
      <c r="D135" s="14"/>
      <c r="E135" s="14"/>
      <c r="F135" s="14"/>
      <c r="G135" s="14"/>
      <c r="H135" s="14"/>
      <c r="I135" s="14"/>
      <c r="J135" s="96"/>
      <c r="K135" s="96"/>
      <c r="L135" s="96"/>
      <c r="M135" s="96"/>
      <c r="N135" s="103"/>
      <c r="O135" s="96"/>
      <c r="P135" s="96"/>
      <c r="Q135" s="104"/>
      <c r="R135" s="96"/>
      <c r="S135" s="96"/>
      <c r="T135" s="96"/>
      <c r="U135" s="96"/>
      <c r="V135" s="96"/>
      <c r="W135" s="104"/>
      <c r="X135" s="96"/>
      <c r="Y135" s="104"/>
      <c r="Z135" s="104"/>
      <c r="AA135" s="96"/>
      <c r="AB135" s="96"/>
      <c r="AC135" s="96"/>
      <c r="AD135" s="96"/>
      <c r="AE135" s="104"/>
      <c r="AF135" s="96"/>
      <c r="AG135" s="96"/>
      <c r="AH135" s="96"/>
      <c r="AI135" s="104"/>
      <c r="AJ135" s="104"/>
      <c r="AK135" s="96"/>
      <c r="AL135" s="96"/>
      <c r="AM135" s="96"/>
      <c r="AN135" s="104"/>
      <c r="AO135" s="104"/>
      <c r="AP135" s="96"/>
      <c r="AQ135" s="96"/>
      <c r="AR135" s="96"/>
      <c r="AS135" s="96"/>
      <c r="AT135" s="96"/>
      <c r="AU135" s="96"/>
      <c r="AV135" s="104"/>
      <c r="AW135" s="96"/>
      <c r="AX135" s="96"/>
      <c r="AY135" s="96"/>
      <c r="AZ135" s="96"/>
      <c r="BA135" s="96"/>
      <c r="BB135" s="104"/>
      <c r="BC135" s="104"/>
      <c r="BD135" s="96"/>
      <c r="BE135" s="96"/>
      <c r="BF135" s="96"/>
      <c r="BG135" s="96"/>
      <c r="BH135" s="96"/>
      <c r="BI135" s="96"/>
      <c r="BJ135" s="96"/>
      <c r="BK135" s="104"/>
      <c r="BL135" s="104"/>
      <c r="BM135" s="96"/>
      <c r="BN135" s="96"/>
      <c r="BO135" s="96"/>
      <c r="BP135" s="96"/>
      <c r="BQ135" s="96"/>
      <c r="BR135" s="104"/>
      <c r="BS135" s="109"/>
      <c r="BT135" s="109"/>
      <c r="BU135" s="109"/>
      <c r="BV135" s="106"/>
      <c r="BW135" s="107"/>
      <c r="BX135" s="107"/>
      <c r="BY135" s="108"/>
      <c r="BZ135" s="109"/>
      <c r="CA135" s="109"/>
      <c r="CB135" s="110"/>
      <c r="CC135" s="13"/>
      <c r="CD135" s="13"/>
    </row>
    <row r="136" spans="1:82" ht="14.4" x14ac:dyDescent="0.3">
      <c r="A136" s="14"/>
      <c r="B136" s="14"/>
      <c r="C136" s="14"/>
      <c r="D136" s="14"/>
      <c r="E136" s="14"/>
      <c r="F136" s="14"/>
      <c r="G136" s="14"/>
      <c r="H136" s="14"/>
      <c r="I136" s="14"/>
      <c r="J136" s="96"/>
      <c r="K136" s="96"/>
      <c r="L136" s="96"/>
      <c r="M136" s="96"/>
      <c r="N136" s="103"/>
      <c r="O136" s="96"/>
      <c r="P136" s="96"/>
      <c r="Q136" s="104"/>
      <c r="R136" s="96"/>
      <c r="S136" s="96"/>
      <c r="T136" s="96"/>
      <c r="U136" s="96"/>
      <c r="V136" s="96"/>
      <c r="W136" s="104"/>
      <c r="X136" s="96"/>
      <c r="Y136" s="104"/>
      <c r="Z136" s="104"/>
      <c r="AA136" s="96"/>
      <c r="AB136" s="96"/>
      <c r="AC136" s="96"/>
      <c r="AD136" s="96"/>
      <c r="AE136" s="104"/>
      <c r="AF136" s="96"/>
      <c r="AG136" s="96"/>
      <c r="AH136" s="96"/>
      <c r="AI136" s="104"/>
      <c r="AJ136" s="104"/>
      <c r="AK136" s="96"/>
      <c r="AL136" s="96"/>
      <c r="AM136" s="96"/>
      <c r="AN136" s="104"/>
      <c r="AO136" s="104"/>
      <c r="AP136" s="96"/>
      <c r="AQ136" s="96"/>
      <c r="AR136" s="96"/>
      <c r="AS136" s="96"/>
      <c r="AT136" s="96"/>
      <c r="AU136" s="96"/>
      <c r="AV136" s="104"/>
      <c r="AW136" s="96"/>
      <c r="AX136" s="96"/>
      <c r="AY136" s="96"/>
      <c r="AZ136" s="96"/>
      <c r="BA136" s="96"/>
      <c r="BB136" s="104"/>
      <c r="BC136" s="104"/>
      <c r="BD136" s="96"/>
      <c r="BE136" s="96"/>
      <c r="BF136" s="96"/>
      <c r="BG136" s="96"/>
      <c r="BH136" s="96"/>
      <c r="BI136" s="96"/>
      <c r="BJ136" s="96"/>
      <c r="BK136" s="104"/>
      <c r="BL136" s="104"/>
      <c r="BM136" s="96"/>
      <c r="BN136" s="96"/>
      <c r="BO136" s="96"/>
      <c r="BP136" s="96"/>
      <c r="BQ136" s="96"/>
      <c r="BR136" s="104"/>
      <c r="BS136" s="105"/>
      <c r="BT136" s="105"/>
      <c r="BU136" s="105"/>
      <c r="BV136" s="106"/>
      <c r="BW136" s="107"/>
      <c r="BX136" s="107"/>
      <c r="BY136" s="108"/>
      <c r="BZ136" s="109"/>
      <c r="CA136" s="109"/>
      <c r="CB136" s="110"/>
      <c r="CC136" s="111"/>
      <c r="CD136" s="109"/>
    </row>
    <row r="137" spans="1:82" ht="14.4" x14ac:dyDescent="0.3">
      <c r="A137" s="57"/>
      <c r="B137" s="57"/>
      <c r="C137" s="57"/>
      <c r="D137" s="57"/>
      <c r="E137" s="57"/>
      <c r="F137" s="57"/>
      <c r="G137" s="57"/>
      <c r="H137" s="57"/>
      <c r="I137" s="57"/>
      <c r="J137" s="100"/>
      <c r="K137" s="100"/>
      <c r="L137" s="100"/>
      <c r="M137" s="100"/>
      <c r="N137" s="112"/>
      <c r="O137" s="100"/>
      <c r="P137" s="100"/>
      <c r="Q137" s="104"/>
      <c r="R137" s="100"/>
      <c r="S137" s="100"/>
      <c r="T137" s="100"/>
      <c r="U137" s="100"/>
      <c r="V137" s="100"/>
      <c r="W137" s="104"/>
      <c r="X137" s="100"/>
      <c r="Y137" s="104"/>
      <c r="Z137" s="104"/>
      <c r="AA137" s="100"/>
      <c r="AB137" s="100"/>
      <c r="AC137" s="100"/>
      <c r="AD137" s="100"/>
      <c r="AE137" s="104"/>
      <c r="AF137" s="100"/>
      <c r="AG137" s="100"/>
      <c r="AH137" s="100"/>
      <c r="AI137" s="104"/>
      <c r="AJ137" s="104"/>
      <c r="AK137" s="100"/>
      <c r="AL137" s="100"/>
      <c r="AM137" s="100"/>
      <c r="AN137" s="104"/>
      <c r="AO137" s="104"/>
      <c r="AP137" s="100"/>
      <c r="AQ137" s="100"/>
      <c r="AR137" s="100"/>
      <c r="AS137" s="100"/>
      <c r="AT137" s="100"/>
      <c r="AU137" s="100"/>
      <c r="AV137" s="104"/>
      <c r="AW137" s="100"/>
      <c r="AX137" s="100"/>
      <c r="AY137" s="100"/>
      <c r="AZ137" s="100"/>
      <c r="BA137" s="100"/>
      <c r="BB137" s="104"/>
      <c r="BC137" s="104"/>
      <c r="BD137" s="100"/>
      <c r="BE137" s="100"/>
      <c r="BF137" s="100"/>
      <c r="BG137" s="100"/>
      <c r="BH137" s="100"/>
      <c r="BI137" s="100"/>
      <c r="BJ137" s="100"/>
      <c r="BK137" s="104"/>
      <c r="BL137" s="104"/>
      <c r="BM137" s="100"/>
      <c r="BN137" s="100"/>
      <c r="BO137" s="100"/>
      <c r="BP137" s="100"/>
      <c r="BQ137" s="100"/>
      <c r="BR137" s="104"/>
      <c r="BS137" s="105"/>
      <c r="BT137" s="105"/>
      <c r="BU137" s="105"/>
      <c r="BV137" s="106"/>
      <c r="BW137" s="107"/>
      <c r="BX137" s="107"/>
      <c r="BY137" s="108"/>
      <c r="BZ137" s="109"/>
      <c r="CA137" s="109"/>
      <c r="CB137" s="110"/>
      <c r="CC137" s="111"/>
      <c r="CD137" s="109"/>
    </row>
    <row r="138" spans="1:82" ht="14.4" x14ac:dyDescent="0.3">
      <c r="A138" s="14"/>
      <c r="B138" s="14"/>
      <c r="C138" s="14"/>
      <c r="D138" s="14"/>
      <c r="E138" s="14"/>
      <c r="F138" s="14"/>
      <c r="G138" s="14"/>
      <c r="H138" s="14"/>
      <c r="I138" s="14"/>
      <c r="J138" s="96"/>
      <c r="K138" s="96"/>
      <c r="L138" s="96"/>
      <c r="M138" s="96"/>
      <c r="N138" s="103"/>
      <c r="O138" s="96"/>
      <c r="P138" s="96"/>
      <c r="Q138" s="104"/>
      <c r="R138" s="96"/>
      <c r="S138" s="96"/>
      <c r="T138" s="96"/>
      <c r="U138" s="96"/>
      <c r="V138" s="96"/>
      <c r="W138" s="104"/>
      <c r="X138" s="96"/>
      <c r="Y138" s="104"/>
      <c r="Z138" s="104"/>
      <c r="AA138" s="96"/>
      <c r="AB138" s="96"/>
      <c r="AC138" s="96"/>
      <c r="AD138" s="96"/>
      <c r="AE138" s="104"/>
      <c r="AF138" s="96"/>
      <c r="AG138" s="96"/>
      <c r="AH138" s="96"/>
      <c r="AI138" s="104"/>
      <c r="AJ138" s="104"/>
      <c r="AK138" s="96"/>
      <c r="AL138" s="96"/>
      <c r="AM138" s="96"/>
      <c r="AN138" s="104"/>
      <c r="AO138" s="104"/>
      <c r="AP138" s="96"/>
      <c r="AQ138" s="96"/>
      <c r="AR138" s="96"/>
      <c r="AS138" s="96"/>
      <c r="AT138" s="96"/>
      <c r="AU138" s="96"/>
      <c r="AV138" s="104"/>
      <c r="AW138" s="96"/>
      <c r="AX138" s="96"/>
      <c r="AY138" s="96"/>
      <c r="AZ138" s="96"/>
      <c r="BA138" s="96"/>
      <c r="BB138" s="104"/>
      <c r="BC138" s="104"/>
      <c r="BD138" s="96"/>
      <c r="BE138" s="96"/>
      <c r="BF138" s="96"/>
      <c r="BG138" s="96"/>
      <c r="BH138" s="96"/>
      <c r="BI138" s="96"/>
      <c r="BJ138" s="96"/>
      <c r="BK138" s="104"/>
      <c r="BL138" s="104"/>
      <c r="BM138" s="96"/>
      <c r="BN138" s="96"/>
      <c r="BO138" s="96"/>
      <c r="BP138" s="96"/>
      <c r="BQ138" s="96"/>
      <c r="BR138" s="104"/>
      <c r="BS138" s="105"/>
      <c r="BT138" s="105"/>
      <c r="BU138" s="105"/>
      <c r="BV138" s="106"/>
      <c r="BW138" s="107"/>
      <c r="BX138" s="107"/>
      <c r="BY138" s="108"/>
      <c r="BZ138" s="109"/>
      <c r="CA138" s="109"/>
      <c r="CB138" s="110"/>
      <c r="CC138" s="111"/>
      <c r="CD138" s="109"/>
    </row>
    <row r="139" spans="1:82" ht="14.4" x14ac:dyDescent="0.3">
      <c r="A139" s="57"/>
      <c r="B139" s="57"/>
      <c r="C139" s="57"/>
      <c r="D139" s="57"/>
      <c r="E139" s="57"/>
      <c r="F139" s="57"/>
      <c r="G139" s="57"/>
      <c r="H139" s="57"/>
      <c r="I139" s="57"/>
      <c r="J139" s="100"/>
      <c r="K139" s="100"/>
      <c r="L139" s="100"/>
      <c r="M139" s="100"/>
      <c r="N139" s="112"/>
      <c r="O139" s="100"/>
      <c r="P139" s="100"/>
      <c r="Q139" s="104"/>
      <c r="R139" s="100"/>
      <c r="S139" s="100"/>
      <c r="T139" s="100"/>
      <c r="U139" s="100"/>
      <c r="V139" s="100"/>
      <c r="W139" s="104"/>
      <c r="X139" s="100"/>
      <c r="Y139" s="104"/>
      <c r="Z139" s="104"/>
      <c r="AA139" s="100"/>
      <c r="AB139" s="100"/>
      <c r="AC139" s="100"/>
      <c r="AD139" s="100"/>
      <c r="AE139" s="104"/>
      <c r="AF139" s="100"/>
      <c r="AG139" s="100"/>
      <c r="AH139" s="100"/>
      <c r="AI139" s="104"/>
      <c r="AJ139" s="104"/>
      <c r="AK139" s="100"/>
      <c r="AL139" s="100"/>
      <c r="AM139" s="100"/>
      <c r="AN139" s="104"/>
      <c r="AO139" s="104"/>
      <c r="AP139" s="100"/>
      <c r="AQ139" s="100"/>
      <c r="AR139" s="100"/>
      <c r="AS139" s="100"/>
      <c r="AT139" s="100"/>
      <c r="AU139" s="100"/>
      <c r="AV139" s="104"/>
      <c r="AW139" s="100"/>
      <c r="AX139" s="100"/>
      <c r="AY139" s="100"/>
      <c r="AZ139" s="100"/>
      <c r="BA139" s="100"/>
      <c r="BB139" s="104"/>
      <c r="BC139" s="104"/>
      <c r="BD139" s="100"/>
      <c r="BE139" s="100"/>
      <c r="BF139" s="100"/>
      <c r="BG139" s="100"/>
      <c r="BH139" s="100"/>
      <c r="BI139" s="100"/>
      <c r="BJ139" s="100"/>
      <c r="BK139" s="104"/>
      <c r="BL139" s="104"/>
      <c r="BM139" s="100"/>
      <c r="BN139" s="100"/>
      <c r="BO139" s="100"/>
      <c r="BP139" s="100"/>
      <c r="BQ139" s="100"/>
      <c r="BR139" s="104"/>
      <c r="BS139" s="105"/>
      <c r="BT139" s="105"/>
      <c r="BU139" s="105"/>
      <c r="BV139" s="106"/>
      <c r="BW139" s="107"/>
      <c r="BX139" s="107"/>
      <c r="BY139" s="108"/>
      <c r="BZ139" s="109"/>
      <c r="CA139" s="109"/>
      <c r="CB139" s="110"/>
      <c r="CC139" s="111"/>
      <c r="CD139" s="109"/>
    </row>
    <row r="140" spans="1:82" ht="14.4" x14ac:dyDescent="0.3">
      <c r="A140" s="14"/>
      <c r="B140" s="14"/>
      <c r="C140" s="14"/>
      <c r="D140" s="14"/>
      <c r="E140" s="14"/>
      <c r="F140" s="14"/>
      <c r="G140" s="14"/>
      <c r="H140" s="14"/>
      <c r="I140" s="14"/>
      <c r="J140" s="96"/>
      <c r="K140" s="96"/>
      <c r="L140" s="96"/>
      <c r="M140" s="96"/>
      <c r="N140" s="103"/>
      <c r="O140" s="96"/>
      <c r="P140" s="96"/>
      <c r="Q140" s="104"/>
      <c r="R140" s="96"/>
      <c r="S140" s="96"/>
      <c r="T140" s="96"/>
      <c r="U140" s="96"/>
      <c r="V140" s="96"/>
      <c r="W140" s="104"/>
      <c r="X140" s="96"/>
      <c r="Y140" s="104"/>
      <c r="Z140" s="104"/>
      <c r="AA140" s="96"/>
      <c r="AB140" s="96"/>
      <c r="AC140" s="96"/>
      <c r="AD140" s="96"/>
      <c r="AE140" s="104"/>
      <c r="AF140" s="96"/>
      <c r="AG140" s="96"/>
      <c r="AH140" s="96"/>
      <c r="AI140" s="104"/>
      <c r="AJ140" s="104"/>
      <c r="AK140" s="96"/>
      <c r="AL140" s="96"/>
      <c r="AM140" s="96"/>
      <c r="AN140" s="104"/>
      <c r="AO140" s="104"/>
      <c r="AP140" s="96"/>
      <c r="AQ140" s="96"/>
      <c r="AR140" s="96"/>
      <c r="AS140" s="96"/>
      <c r="AT140" s="96"/>
      <c r="AU140" s="96"/>
      <c r="AV140" s="104"/>
      <c r="AW140" s="96"/>
      <c r="AX140" s="96"/>
      <c r="AY140" s="96"/>
      <c r="AZ140" s="96"/>
      <c r="BA140" s="96"/>
      <c r="BB140" s="104"/>
      <c r="BC140" s="104"/>
      <c r="BD140" s="96"/>
      <c r="BE140" s="96"/>
      <c r="BF140" s="96"/>
      <c r="BG140" s="96"/>
      <c r="BH140" s="96"/>
      <c r="BI140" s="96"/>
      <c r="BJ140" s="96"/>
      <c r="BK140" s="104"/>
      <c r="BL140" s="104"/>
      <c r="BM140" s="96"/>
      <c r="BN140" s="96"/>
      <c r="BO140" s="96"/>
      <c r="BP140" s="96"/>
      <c r="BQ140" s="96"/>
      <c r="BR140" s="104"/>
      <c r="BS140" s="105"/>
      <c r="BT140" s="105"/>
      <c r="BU140" s="105"/>
      <c r="BV140" s="106"/>
      <c r="BW140" s="107"/>
      <c r="BX140" s="107"/>
      <c r="BY140" s="108"/>
      <c r="BZ140" s="109"/>
      <c r="CA140" s="109"/>
      <c r="CB140" s="110"/>
      <c r="CC140" s="111"/>
      <c r="CD140" s="109"/>
    </row>
    <row r="141" spans="1:82" ht="14.4" x14ac:dyDescent="0.3">
      <c r="A141" s="57"/>
      <c r="B141" s="57"/>
      <c r="C141" s="57"/>
      <c r="D141" s="57"/>
      <c r="E141" s="57"/>
      <c r="F141" s="57"/>
      <c r="G141" s="57"/>
      <c r="H141" s="57"/>
      <c r="I141" s="57"/>
      <c r="J141" s="100"/>
      <c r="K141" s="100"/>
      <c r="L141" s="100"/>
      <c r="M141" s="100"/>
      <c r="N141" s="112"/>
      <c r="O141" s="100"/>
      <c r="P141" s="100"/>
      <c r="Q141" s="104"/>
      <c r="R141" s="100"/>
      <c r="S141" s="100"/>
      <c r="T141" s="100"/>
      <c r="U141" s="100"/>
      <c r="V141" s="100"/>
      <c r="W141" s="104"/>
      <c r="X141" s="100"/>
      <c r="Y141" s="104"/>
      <c r="Z141" s="104"/>
      <c r="AA141" s="100"/>
      <c r="AB141" s="100"/>
      <c r="AC141" s="100"/>
      <c r="AD141" s="100"/>
      <c r="AE141" s="104"/>
      <c r="AF141" s="100"/>
      <c r="AG141" s="100"/>
      <c r="AH141" s="100"/>
      <c r="AI141" s="104"/>
      <c r="AJ141" s="104"/>
      <c r="AK141" s="100"/>
      <c r="AL141" s="100"/>
      <c r="AM141" s="100"/>
      <c r="AN141" s="104"/>
      <c r="AO141" s="104"/>
      <c r="AP141" s="100"/>
      <c r="AQ141" s="100"/>
      <c r="AR141" s="100"/>
      <c r="AS141" s="100"/>
      <c r="AT141" s="100"/>
      <c r="AU141" s="100"/>
      <c r="AV141" s="104"/>
      <c r="AW141" s="100"/>
      <c r="AX141" s="100"/>
      <c r="AY141" s="100"/>
      <c r="AZ141" s="100"/>
      <c r="BA141" s="100"/>
      <c r="BB141" s="104"/>
      <c r="BC141" s="104"/>
      <c r="BD141" s="100"/>
      <c r="BE141" s="100"/>
      <c r="BF141" s="100"/>
      <c r="BG141" s="100"/>
      <c r="BH141" s="100"/>
      <c r="BI141" s="100"/>
      <c r="BJ141" s="100"/>
      <c r="BK141" s="104"/>
      <c r="BL141" s="104"/>
      <c r="BM141" s="100"/>
      <c r="BN141" s="100"/>
      <c r="BO141" s="100"/>
      <c r="BP141" s="100"/>
      <c r="BQ141" s="100"/>
      <c r="BR141" s="104"/>
      <c r="BS141" s="105"/>
      <c r="BT141" s="105"/>
      <c r="BU141" s="105"/>
      <c r="BV141" s="106"/>
      <c r="BW141" s="107"/>
      <c r="BX141" s="107"/>
      <c r="BY141" s="108"/>
      <c r="BZ141" s="109"/>
      <c r="CA141" s="109"/>
      <c r="CB141" s="110"/>
      <c r="CC141" s="111"/>
      <c r="CD141" s="109"/>
    </row>
    <row r="142" spans="1:82" s="15" customFormat="1" ht="14.4" x14ac:dyDescent="0.3">
      <c r="A142" s="14"/>
      <c r="B142" s="14"/>
      <c r="C142" s="14"/>
      <c r="D142" s="14"/>
      <c r="E142" s="14"/>
      <c r="F142" s="14"/>
      <c r="G142" s="14"/>
      <c r="H142" s="14"/>
      <c r="I142" s="14"/>
      <c r="J142" s="96"/>
      <c r="K142" s="96"/>
      <c r="L142" s="96"/>
      <c r="M142" s="96"/>
      <c r="N142" s="103"/>
      <c r="O142" s="96"/>
      <c r="P142" s="96"/>
      <c r="Q142" s="104"/>
      <c r="R142" s="96"/>
      <c r="S142" s="96"/>
      <c r="T142" s="96"/>
      <c r="U142" s="96"/>
      <c r="V142" s="96"/>
      <c r="W142" s="104"/>
      <c r="X142" s="96"/>
      <c r="Y142" s="104"/>
      <c r="Z142" s="104"/>
      <c r="AA142" s="96"/>
      <c r="AB142" s="96"/>
      <c r="AC142" s="96"/>
      <c r="AD142" s="96"/>
      <c r="AE142" s="104"/>
      <c r="AF142" s="96"/>
      <c r="AG142" s="96"/>
      <c r="AH142" s="96"/>
      <c r="AI142" s="104"/>
      <c r="AJ142" s="104"/>
      <c r="AK142" s="96"/>
      <c r="AL142" s="96"/>
      <c r="AM142" s="96"/>
      <c r="AN142" s="104"/>
      <c r="AO142" s="104"/>
      <c r="AP142" s="96"/>
      <c r="AQ142" s="96"/>
      <c r="AR142" s="96"/>
      <c r="AS142" s="96"/>
      <c r="AT142" s="96"/>
      <c r="AU142" s="96"/>
      <c r="AV142" s="104"/>
      <c r="AW142" s="96"/>
      <c r="AX142" s="96"/>
      <c r="AY142" s="96"/>
      <c r="AZ142" s="96"/>
      <c r="BA142" s="96"/>
      <c r="BB142" s="104"/>
      <c r="BC142" s="104"/>
      <c r="BD142" s="96"/>
      <c r="BE142" s="96"/>
      <c r="BF142" s="96"/>
      <c r="BG142" s="96"/>
      <c r="BH142" s="96"/>
      <c r="BI142" s="96"/>
      <c r="BJ142" s="96"/>
      <c r="BK142" s="104"/>
      <c r="BL142" s="104"/>
      <c r="BM142" s="96"/>
      <c r="BN142" s="96"/>
      <c r="BO142" s="96"/>
      <c r="BP142" s="96"/>
      <c r="BQ142" s="96"/>
      <c r="BR142" s="104"/>
      <c r="BS142" s="105"/>
      <c r="BT142" s="105"/>
      <c r="BU142" s="105"/>
      <c r="BV142" s="106"/>
      <c r="BW142" s="107"/>
      <c r="BX142" s="107"/>
      <c r="BY142" s="108"/>
      <c r="BZ142" s="109"/>
      <c r="CA142" s="109"/>
      <c r="CB142" s="110"/>
      <c r="CC142" s="111"/>
      <c r="CD142" s="109"/>
    </row>
    <row r="143" spans="1:82" ht="14.4" x14ac:dyDescent="0.3">
      <c r="A143" s="57"/>
      <c r="B143" s="57"/>
      <c r="C143" s="57"/>
      <c r="D143" s="57"/>
      <c r="E143" s="57"/>
      <c r="F143" s="57"/>
      <c r="G143" s="57"/>
      <c r="H143" s="57"/>
      <c r="I143" s="57"/>
      <c r="J143" s="100"/>
      <c r="K143" s="100"/>
      <c r="L143" s="100"/>
      <c r="M143" s="100"/>
      <c r="N143" s="112"/>
      <c r="O143" s="100"/>
      <c r="P143" s="100"/>
      <c r="Q143" s="104"/>
      <c r="R143" s="100"/>
      <c r="S143" s="100"/>
      <c r="T143" s="100"/>
      <c r="U143" s="100"/>
      <c r="V143" s="100"/>
      <c r="W143" s="104"/>
      <c r="X143" s="100"/>
      <c r="Y143" s="104"/>
      <c r="Z143" s="104"/>
      <c r="AA143" s="100"/>
      <c r="AB143" s="100"/>
      <c r="AC143" s="100"/>
      <c r="AD143" s="100"/>
      <c r="AE143" s="104"/>
      <c r="AF143" s="100"/>
      <c r="AG143" s="100"/>
      <c r="AH143" s="100"/>
      <c r="AI143" s="104"/>
      <c r="AJ143" s="104"/>
      <c r="AK143" s="100"/>
      <c r="AL143" s="100"/>
      <c r="AM143" s="100"/>
      <c r="AN143" s="104"/>
      <c r="AO143" s="104"/>
      <c r="AP143" s="100"/>
      <c r="AQ143" s="100"/>
      <c r="AR143" s="100"/>
      <c r="AS143" s="100"/>
      <c r="AT143" s="100"/>
      <c r="AU143" s="100"/>
      <c r="AV143" s="104"/>
      <c r="AW143" s="100"/>
      <c r="AX143" s="100"/>
      <c r="AY143" s="100"/>
      <c r="AZ143" s="100"/>
      <c r="BA143" s="100"/>
      <c r="BB143" s="104"/>
      <c r="BC143" s="104"/>
      <c r="BD143" s="100"/>
      <c r="BE143" s="100"/>
      <c r="BF143" s="100"/>
      <c r="BG143" s="100"/>
      <c r="BH143" s="100"/>
      <c r="BI143" s="100"/>
      <c r="BJ143" s="100"/>
      <c r="BK143" s="104"/>
      <c r="BL143" s="104"/>
      <c r="BM143" s="100"/>
      <c r="BN143" s="100"/>
      <c r="BO143" s="100"/>
      <c r="BP143" s="100"/>
      <c r="BQ143" s="100"/>
      <c r="BR143" s="104"/>
      <c r="BS143" s="105"/>
      <c r="BT143" s="105"/>
      <c r="BU143" s="105"/>
      <c r="BV143" s="106"/>
      <c r="BW143" s="107"/>
      <c r="BX143" s="107"/>
      <c r="BY143" s="108"/>
      <c r="BZ143" s="109"/>
      <c r="CA143" s="109"/>
      <c r="CB143" s="110"/>
      <c r="CC143" s="111"/>
      <c r="CD143" s="109"/>
    </row>
    <row r="144" spans="1:82" ht="14.4" x14ac:dyDescent="0.3">
      <c r="A144" s="14"/>
      <c r="B144" s="14"/>
      <c r="C144" s="14"/>
      <c r="D144" s="14"/>
      <c r="E144" s="14"/>
      <c r="F144" s="14"/>
      <c r="G144" s="14"/>
      <c r="H144" s="14"/>
      <c r="I144" s="14"/>
      <c r="J144" s="96"/>
      <c r="K144" s="96"/>
      <c r="L144" s="96"/>
      <c r="M144" s="96"/>
      <c r="N144" s="103"/>
      <c r="O144" s="96"/>
      <c r="P144" s="96"/>
      <c r="Q144" s="104"/>
      <c r="R144" s="96"/>
      <c r="S144" s="96"/>
      <c r="T144" s="96"/>
      <c r="U144" s="96"/>
      <c r="V144" s="96"/>
      <c r="W144" s="104"/>
      <c r="X144" s="96"/>
      <c r="Y144" s="104"/>
      <c r="Z144" s="104"/>
      <c r="AA144" s="96"/>
      <c r="AB144" s="96"/>
      <c r="AC144" s="96"/>
      <c r="AD144" s="96"/>
      <c r="AE144" s="104"/>
      <c r="AF144" s="96"/>
      <c r="AG144" s="96"/>
      <c r="AH144" s="96"/>
      <c r="AI144" s="104"/>
      <c r="AJ144" s="104"/>
      <c r="AK144" s="96"/>
      <c r="AL144" s="96"/>
      <c r="AM144" s="96"/>
      <c r="AN144" s="104"/>
      <c r="AO144" s="104"/>
      <c r="AP144" s="96"/>
      <c r="AQ144" s="96"/>
      <c r="AR144" s="96"/>
      <c r="AS144" s="96"/>
      <c r="AT144" s="96"/>
      <c r="AU144" s="96"/>
      <c r="AV144" s="104"/>
      <c r="AW144" s="96"/>
      <c r="AX144" s="96"/>
      <c r="AY144" s="96"/>
      <c r="AZ144" s="96"/>
      <c r="BA144" s="96"/>
      <c r="BB144" s="104"/>
      <c r="BC144" s="104"/>
      <c r="BD144" s="96"/>
      <c r="BE144" s="96"/>
      <c r="BF144" s="96"/>
      <c r="BG144" s="96"/>
      <c r="BH144" s="96"/>
      <c r="BI144" s="96"/>
      <c r="BJ144" s="96"/>
      <c r="BK144" s="104"/>
      <c r="BL144" s="104"/>
      <c r="BM144" s="96"/>
      <c r="BN144" s="96"/>
      <c r="BO144" s="96"/>
      <c r="BP144" s="96"/>
      <c r="BQ144" s="96"/>
      <c r="BR144" s="104"/>
      <c r="BS144" s="105"/>
      <c r="BT144" s="105"/>
      <c r="BU144" s="105"/>
      <c r="BV144" s="106"/>
      <c r="BW144" s="107"/>
      <c r="BX144" s="107"/>
      <c r="BY144" s="108"/>
      <c r="BZ144" s="109"/>
      <c r="CA144" s="109"/>
      <c r="CB144" s="110"/>
      <c r="CC144" s="111"/>
      <c r="CD144" s="109"/>
    </row>
    <row r="145" spans="1:82" ht="14.4" x14ac:dyDescent="0.3">
      <c r="A145" s="57"/>
      <c r="B145" s="57"/>
      <c r="C145" s="57"/>
      <c r="D145" s="57"/>
      <c r="E145" s="57"/>
      <c r="F145" s="57"/>
      <c r="G145" s="57"/>
      <c r="H145" s="57"/>
      <c r="I145" s="57"/>
      <c r="J145" s="100"/>
      <c r="K145" s="100"/>
      <c r="L145" s="100"/>
      <c r="M145" s="100"/>
      <c r="N145" s="112"/>
      <c r="O145" s="100"/>
      <c r="P145" s="100"/>
      <c r="Q145" s="104"/>
      <c r="R145" s="100"/>
      <c r="S145" s="100"/>
      <c r="T145" s="100"/>
      <c r="U145" s="100"/>
      <c r="V145" s="100"/>
      <c r="W145" s="104"/>
      <c r="X145" s="100"/>
      <c r="Y145" s="104"/>
      <c r="Z145" s="104"/>
      <c r="AA145" s="100"/>
      <c r="AB145" s="100"/>
      <c r="AC145" s="100"/>
      <c r="AD145" s="100"/>
      <c r="AE145" s="104"/>
      <c r="AF145" s="100"/>
      <c r="AG145" s="100"/>
      <c r="AH145" s="100"/>
      <c r="AI145" s="104"/>
      <c r="AJ145" s="104"/>
      <c r="AK145" s="100"/>
      <c r="AL145" s="100"/>
      <c r="AM145" s="100"/>
      <c r="AN145" s="104"/>
      <c r="AO145" s="104"/>
      <c r="AP145" s="100"/>
      <c r="AQ145" s="100"/>
      <c r="AR145" s="100"/>
      <c r="AS145" s="100"/>
      <c r="AT145" s="100"/>
      <c r="AU145" s="100"/>
      <c r="AV145" s="104"/>
      <c r="AW145" s="100"/>
      <c r="AX145" s="100"/>
      <c r="AY145" s="100"/>
      <c r="AZ145" s="100"/>
      <c r="BA145" s="100"/>
      <c r="BB145" s="104"/>
      <c r="BC145" s="104"/>
      <c r="BD145" s="100"/>
      <c r="BE145" s="100"/>
      <c r="BF145" s="100"/>
      <c r="BG145" s="100"/>
      <c r="BH145" s="100"/>
      <c r="BI145" s="100"/>
      <c r="BJ145" s="100"/>
      <c r="BK145" s="104"/>
      <c r="BL145" s="104"/>
      <c r="BM145" s="100"/>
      <c r="BN145" s="100"/>
      <c r="BO145" s="100"/>
      <c r="BP145" s="100"/>
      <c r="BQ145" s="100"/>
      <c r="BR145" s="104"/>
      <c r="BS145" s="105"/>
      <c r="BT145" s="105"/>
      <c r="BU145" s="105"/>
      <c r="BV145" s="106"/>
      <c r="BW145" s="107"/>
      <c r="BX145" s="107"/>
      <c r="BY145" s="108"/>
      <c r="BZ145" s="109"/>
      <c r="CA145" s="109"/>
      <c r="CB145" s="110"/>
      <c r="CC145" s="111"/>
      <c r="CD145" s="109"/>
    </row>
    <row r="146" spans="1:82" ht="14.4" x14ac:dyDescent="0.3">
      <c r="A146" s="14"/>
      <c r="B146" s="14"/>
      <c r="C146" s="14"/>
      <c r="D146" s="14"/>
      <c r="E146" s="14"/>
      <c r="F146" s="14"/>
      <c r="G146" s="14"/>
      <c r="H146" s="14"/>
      <c r="I146" s="14"/>
      <c r="J146" s="96"/>
      <c r="K146" s="96"/>
      <c r="L146" s="96"/>
      <c r="M146" s="96"/>
      <c r="N146" s="103"/>
      <c r="O146" s="96"/>
      <c r="P146" s="96"/>
      <c r="Q146" s="104"/>
      <c r="R146" s="96"/>
      <c r="S146" s="96"/>
      <c r="T146" s="96"/>
      <c r="U146" s="96"/>
      <c r="V146" s="96"/>
      <c r="W146" s="104"/>
      <c r="X146" s="96"/>
      <c r="Y146" s="104"/>
      <c r="Z146" s="104"/>
      <c r="AA146" s="96"/>
      <c r="AB146" s="96"/>
      <c r="AC146" s="96"/>
      <c r="AD146" s="96"/>
      <c r="AE146" s="104"/>
      <c r="AF146" s="96"/>
      <c r="AG146" s="96"/>
      <c r="AH146" s="96"/>
      <c r="AI146" s="104"/>
      <c r="AJ146" s="104"/>
      <c r="AK146" s="96"/>
      <c r="AL146" s="96"/>
      <c r="AM146" s="96"/>
      <c r="AN146" s="104"/>
      <c r="AO146" s="104"/>
      <c r="AP146" s="96"/>
      <c r="AQ146" s="96"/>
      <c r="AR146" s="96"/>
      <c r="AS146" s="96"/>
      <c r="AT146" s="96"/>
      <c r="AU146" s="96"/>
      <c r="AV146" s="104"/>
      <c r="AW146" s="96"/>
      <c r="AX146" s="96"/>
      <c r="AY146" s="96"/>
      <c r="AZ146" s="96"/>
      <c r="BA146" s="96"/>
      <c r="BB146" s="104"/>
      <c r="BC146" s="104"/>
      <c r="BD146" s="96"/>
      <c r="BE146" s="96"/>
      <c r="BF146" s="96"/>
      <c r="BG146" s="96"/>
      <c r="BH146" s="96"/>
      <c r="BI146" s="96"/>
      <c r="BJ146" s="96"/>
      <c r="BK146" s="104"/>
      <c r="BL146" s="104"/>
      <c r="BM146" s="96"/>
      <c r="BN146" s="96"/>
      <c r="BO146" s="96"/>
      <c r="BP146" s="96"/>
      <c r="BQ146" s="96"/>
      <c r="BR146" s="104"/>
      <c r="BS146" s="105"/>
      <c r="BT146" s="105"/>
      <c r="BU146" s="105"/>
      <c r="BV146" s="106"/>
      <c r="BW146" s="107"/>
      <c r="BX146" s="107"/>
      <c r="BY146" s="108"/>
      <c r="BZ146" s="109"/>
      <c r="CA146" s="109"/>
      <c r="CB146" s="110"/>
      <c r="CC146" s="111"/>
      <c r="CD146" s="109"/>
    </row>
    <row r="147" spans="1:82" ht="14.4" x14ac:dyDescent="0.3">
      <c r="A147" s="57"/>
      <c r="B147" s="57"/>
      <c r="C147" s="57"/>
      <c r="D147" s="57"/>
      <c r="E147" s="57"/>
      <c r="F147" s="57"/>
      <c r="G147" s="57"/>
      <c r="H147" s="57"/>
      <c r="I147" s="57"/>
      <c r="J147" s="100"/>
      <c r="K147" s="100"/>
      <c r="L147" s="100"/>
      <c r="M147" s="100"/>
      <c r="N147" s="112"/>
      <c r="O147" s="100"/>
      <c r="P147" s="100"/>
      <c r="Q147" s="104"/>
      <c r="R147" s="100"/>
      <c r="S147" s="100"/>
      <c r="T147" s="100"/>
      <c r="U147" s="100"/>
      <c r="V147" s="100"/>
      <c r="W147" s="104"/>
      <c r="X147" s="100"/>
      <c r="Y147" s="104"/>
      <c r="Z147" s="104"/>
      <c r="AA147" s="100"/>
      <c r="AB147" s="100"/>
      <c r="AC147" s="100"/>
      <c r="AD147" s="100"/>
      <c r="AE147" s="104"/>
      <c r="AF147" s="100"/>
      <c r="AG147" s="100"/>
      <c r="AH147" s="100"/>
      <c r="AI147" s="104"/>
      <c r="AJ147" s="104"/>
      <c r="AK147" s="100"/>
      <c r="AL147" s="100"/>
      <c r="AM147" s="100"/>
      <c r="AN147" s="104"/>
      <c r="AO147" s="104"/>
      <c r="AP147" s="100"/>
      <c r="AQ147" s="100"/>
      <c r="AR147" s="100"/>
      <c r="AS147" s="100"/>
      <c r="AT147" s="100"/>
      <c r="AU147" s="100"/>
      <c r="AV147" s="104"/>
      <c r="AW147" s="100"/>
      <c r="AX147" s="100"/>
      <c r="AY147" s="100"/>
      <c r="AZ147" s="100"/>
      <c r="BA147" s="100"/>
      <c r="BB147" s="104"/>
      <c r="BC147" s="104"/>
      <c r="BD147" s="100"/>
      <c r="BE147" s="100"/>
      <c r="BF147" s="100"/>
      <c r="BG147" s="100"/>
      <c r="BH147" s="100"/>
      <c r="BI147" s="100"/>
      <c r="BJ147" s="100"/>
      <c r="BK147" s="104"/>
      <c r="BL147" s="104"/>
      <c r="BM147" s="100"/>
      <c r="BN147" s="100"/>
      <c r="BO147" s="100"/>
      <c r="BP147" s="100"/>
      <c r="BQ147" s="100"/>
      <c r="BR147" s="104"/>
      <c r="BS147" s="105"/>
      <c r="BT147" s="105"/>
      <c r="BU147" s="105"/>
      <c r="BV147" s="106"/>
      <c r="BW147" s="107"/>
      <c r="BX147" s="107"/>
      <c r="BY147" s="108"/>
      <c r="BZ147" s="109"/>
      <c r="CA147" s="109"/>
      <c r="CB147" s="110"/>
      <c r="CC147" s="111"/>
      <c r="CD147" s="109"/>
    </row>
    <row r="148" spans="1:82" ht="14.4" x14ac:dyDescent="0.3">
      <c r="A148" s="14"/>
      <c r="B148" s="14"/>
      <c r="C148" s="14"/>
      <c r="D148" s="14"/>
      <c r="E148" s="14"/>
      <c r="F148" s="14"/>
      <c r="G148" s="14"/>
      <c r="H148" s="14"/>
      <c r="I148" s="14"/>
      <c r="J148" s="96"/>
      <c r="K148" s="96"/>
      <c r="L148" s="96"/>
      <c r="M148" s="96"/>
      <c r="N148" s="103"/>
      <c r="O148" s="96"/>
      <c r="P148" s="96"/>
      <c r="Q148" s="104"/>
      <c r="R148" s="96"/>
      <c r="S148" s="96"/>
      <c r="T148" s="96"/>
      <c r="U148" s="96"/>
      <c r="V148" s="96"/>
      <c r="W148" s="104"/>
      <c r="X148" s="96"/>
      <c r="Y148" s="104"/>
      <c r="Z148" s="104"/>
      <c r="AA148" s="96"/>
      <c r="AB148" s="96"/>
      <c r="AC148" s="96"/>
      <c r="AD148" s="96"/>
      <c r="AE148" s="104"/>
      <c r="AF148" s="96"/>
      <c r="AG148" s="96"/>
      <c r="AH148" s="96"/>
      <c r="AI148" s="104"/>
      <c r="AJ148" s="104"/>
      <c r="AK148" s="96"/>
      <c r="AL148" s="96"/>
      <c r="AM148" s="96"/>
      <c r="AN148" s="104"/>
      <c r="AO148" s="104"/>
      <c r="AP148" s="96"/>
      <c r="AQ148" s="96"/>
      <c r="AR148" s="96"/>
      <c r="AS148" s="96"/>
      <c r="AT148" s="96"/>
      <c r="AU148" s="96"/>
      <c r="AV148" s="104"/>
      <c r="AW148" s="96"/>
      <c r="AX148" s="96"/>
      <c r="AY148" s="96"/>
      <c r="AZ148" s="96"/>
      <c r="BA148" s="96"/>
      <c r="BB148" s="104"/>
      <c r="BC148" s="104"/>
      <c r="BD148" s="96"/>
      <c r="BE148" s="96"/>
      <c r="BF148" s="96"/>
      <c r="BG148" s="96"/>
      <c r="BH148" s="96"/>
      <c r="BI148" s="96"/>
      <c r="BJ148" s="96"/>
      <c r="BK148" s="104"/>
      <c r="BL148" s="104"/>
      <c r="BM148" s="96"/>
      <c r="BN148" s="96"/>
      <c r="BO148" s="96"/>
      <c r="BP148" s="96"/>
      <c r="BQ148" s="96"/>
      <c r="BR148" s="104"/>
      <c r="BS148" s="105"/>
      <c r="BT148" s="105"/>
      <c r="BU148" s="105"/>
      <c r="BV148" s="106"/>
      <c r="BW148" s="107"/>
      <c r="BX148" s="107"/>
      <c r="BY148" s="108"/>
      <c r="BZ148" s="109"/>
      <c r="CA148" s="109"/>
      <c r="CB148" s="110"/>
      <c r="CC148" s="111"/>
      <c r="CD148" s="109"/>
    </row>
    <row r="149" spans="1:82" ht="14.4" x14ac:dyDescent="0.3">
      <c r="A149" s="57"/>
      <c r="B149" s="57"/>
      <c r="C149" s="57"/>
      <c r="D149" s="57"/>
      <c r="E149" s="57"/>
      <c r="F149" s="57"/>
      <c r="G149" s="57"/>
      <c r="H149" s="57"/>
      <c r="I149" s="57"/>
      <c r="J149" s="100"/>
      <c r="K149" s="100"/>
      <c r="L149" s="100"/>
      <c r="M149" s="100"/>
      <c r="N149" s="112"/>
      <c r="O149" s="100"/>
      <c r="P149" s="100"/>
      <c r="Q149" s="104"/>
      <c r="R149" s="100"/>
      <c r="S149" s="100"/>
      <c r="T149" s="100"/>
      <c r="U149" s="100"/>
      <c r="V149" s="100"/>
      <c r="W149" s="104"/>
      <c r="X149" s="100"/>
      <c r="Y149" s="104"/>
      <c r="Z149" s="104"/>
      <c r="AA149" s="100"/>
      <c r="AB149" s="100"/>
      <c r="AC149" s="100"/>
      <c r="AD149" s="100"/>
      <c r="AE149" s="104"/>
      <c r="AF149" s="100"/>
      <c r="AG149" s="100"/>
      <c r="AH149" s="100"/>
      <c r="AI149" s="104"/>
      <c r="AJ149" s="104"/>
      <c r="AK149" s="100"/>
      <c r="AL149" s="100"/>
      <c r="AM149" s="100"/>
      <c r="AN149" s="104"/>
      <c r="AO149" s="104"/>
      <c r="AP149" s="100"/>
      <c r="AQ149" s="100"/>
      <c r="AR149" s="100"/>
      <c r="AS149" s="100"/>
      <c r="AT149" s="100"/>
      <c r="AU149" s="100"/>
      <c r="AV149" s="104"/>
      <c r="AW149" s="100"/>
      <c r="AX149" s="100"/>
      <c r="AY149" s="100"/>
      <c r="AZ149" s="100"/>
      <c r="BA149" s="100"/>
      <c r="BB149" s="104"/>
      <c r="BC149" s="104"/>
      <c r="BD149" s="100"/>
      <c r="BE149" s="100"/>
      <c r="BF149" s="100"/>
      <c r="BG149" s="100"/>
      <c r="BH149" s="100"/>
      <c r="BI149" s="100"/>
      <c r="BJ149" s="100"/>
      <c r="BK149" s="104"/>
      <c r="BL149" s="104"/>
      <c r="BM149" s="100"/>
      <c r="BN149" s="100"/>
      <c r="BO149" s="100"/>
      <c r="BP149" s="100"/>
      <c r="BQ149" s="100"/>
      <c r="BR149" s="104"/>
      <c r="BS149" s="105"/>
      <c r="BT149" s="105"/>
      <c r="BU149" s="105"/>
      <c r="BV149" s="106"/>
      <c r="BW149" s="107"/>
      <c r="BX149" s="107"/>
      <c r="BY149" s="108"/>
      <c r="BZ149" s="109"/>
      <c r="CA149" s="109"/>
      <c r="CB149" s="110"/>
      <c r="CC149" s="111"/>
      <c r="CD149" s="109"/>
    </row>
    <row r="150" spans="1:82" ht="14.4" x14ac:dyDescent="0.3">
      <c r="A150" s="14"/>
      <c r="B150" s="14"/>
      <c r="C150" s="14"/>
      <c r="D150" s="14"/>
      <c r="E150" s="14"/>
      <c r="F150" s="14"/>
      <c r="G150" s="14"/>
      <c r="H150" s="14"/>
      <c r="I150" s="14"/>
      <c r="J150" s="96"/>
      <c r="K150" s="96"/>
      <c r="L150" s="96"/>
      <c r="M150" s="96"/>
      <c r="N150" s="103"/>
      <c r="O150" s="96"/>
      <c r="P150" s="96"/>
      <c r="Q150" s="104"/>
      <c r="R150" s="96"/>
      <c r="S150" s="96"/>
      <c r="T150" s="96"/>
      <c r="U150" s="96"/>
      <c r="V150" s="96"/>
      <c r="W150" s="104"/>
      <c r="X150" s="96"/>
      <c r="Y150" s="104"/>
      <c r="Z150" s="104"/>
      <c r="AA150" s="96"/>
      <c r="AB150" s="96"/>
      <c r="AC150" s="96"/>
      <c r="AD150" s="96"/>
      <c r="AE150" s="104"/>
      <c r="AF150" s="96"/>
      <c r="AG150" s="96"/>
      <c r="AH150" s="96"/>
      <c r="AI150" s="104"/>
      <c r="AJ150" s="104"/>
      <c r="AK150" s="96"/>
      <c r="AL150" s="96"/>
      <c r="AM150" s="96"/>
      <c r="AN150" s="104"/>
      <c r="AO150" s="104"/>
      <c r="AP150" s="96"/>
      <c r="AQ150" s="96"/>
      <c r="AR150" s="96"/>
      <c r="AS150" s="96"/>
      <c r="AT150" s="96"/>
      <c r="AU150" s="96"/>
      <c r="AV150" s="104"/>
      <c r="AW150" s="96"/>
      <c r="AX150" s="96"/>
      <c r="AY150" s="96"/>
      <c r="AZ150" s="96"/>
      <c r="BA150" s="96"/>
      <c r="BB150" s="104"/>
      <c r="BC150" s="104"/>
      <c r="BD150" s="96"/>
      <c r="BE150" s="96"/>
      <c r="BF150" s="96"/>
      <c r="BG150" s="96"/>
      <c r="BH150" s="96"/>
      <c r="BI150" s="96"/>
      <c r="BJ150" s="96"/>
      <c r="BK150" s="104"/>
      <c r="BL150" s="104"/>
      <c r="BM150" s="96"/>
      <c r="BN150" s="96"/>
      <c r="BO150" s="96"/>
      <c r="BP150" s="96"/>
      <c r="BQ150" s="96"/>
      <c r="BR150" s="104"/>
      <c r="BS150" s="105"/>
      <c r="BT150" s="105"/>
      <c r="BU150" s="105"/>
      <c r="BV150" s="106"/>
      <c r="BW150" s="107"/>
      <c r="BX150" s="107"/>
      <c r="BY150" s="108"/>
      <c r="BZ150" s="109"/>
      <c r="CA150" s="109"/>
      <c r="CB150" s="110"/>
      <c r="CC150" s="111"/>
      <c r="CD150" s="109"/>
    </row>
  </sheetData>
  <mergeCells count="118">
    <mergeCell ref="M114:N114"/>
    <mergeCell ref="M115:N115"/>
    <mergeCell ref="M116:N116"/>
    <mergeCell ref="M117:N117"/>
    <mergeCell ref="M118:N118"/>
    <mergeCell ref="M119:N119"/>
    <mergeCell ref="M108:N108"/>
    <mergeCell ref="M109:N109"/>
    <mergeCell ref="M110:N110"/>
    <mergeCell ref="M111:N111"/>
    <mergeCell ref="M112:N112"/>
    <mergeCell ref="M113:N113"/>
    <mergeCell ref="M102:N102"/>
    <mergeCell ref="M103:N103"/>
    <mergeCell ref="M104:N104"/>
    <mergeCell ref="M105:N105"/>
    <mergeCell ref="M106:N106"/>
    <mergeCell ref="M107:N107"/>
    <mergeCell ref="M96:N96"/>
    <mergeCell ref="M97:N97"/>
    <mergeCell ref="M98:N98"/>
    <mergeCell ref="M99:N99"/>
    <mergeCell ref="M100:N100"/>
    <mergeCell ref="M101:N101"/>
    <mergeCell ref="M90:N90"/>
    <mergeCell ref="M91:N91"/>
    <mergeCell ref="M92:N92"/>
    <mergeCell ref="M93:N93"/>
    <mergeCell ref="M94:N94"/>
    <mergeCell ref="M95:N95"/>
    <mergeCell ref="M84:N84"/>
    <mergeCell ref="M85:N85"/>
    <mergeCell ref="M86:N86"/>
    <mergeCell ref="M87:N87"/>
    <mergeCell ref="M88:N88"/>
    <mergeCell ref="M89:N89"/>
    <mergeCell ref="M78:N78"/>
    <mergeCell ref="M79:N79"/>
    <mergeCell ref="M80:N80"/>
    <mergeCell ref="M81:N81"/>
    <mergeCell ref="M82:N82"/>
    <mergeCell ref="M83:N83"/>
    <mergeCell ref="M72:N72"/>
    <mergeCell ref="M73:N73"/>
    <mergeCell ref="M74:N74"/>
    <mergeCell ref="M75:N75"/>
    <mergeCell ref="M76:N76"/>
    <mergeCell ref="M77:N77"/>
    <mergeCell ref="M68:N68"/>
    <mergeCell ref="M69:N69"/>
    <mergeCell ref="M70:N70"/>
    <mergeCell ref="M71:N71"/>
    <mergeCell ref="M62:N62"/>
    <mergeCell ref="M63:N63"/>
    <mergeCell ref="M64:N64"/>
    <mergeCell ref="M65:N65"/>
    <mergeCell ref="M66:N66"/>
    <mergeCell ref="M67:N67"/>
    <mergeCell ref="M56:N56"/>
    <mergeCell ref="M57:N57"/>
    <mergeCell ref="M58:N58"/>
    <mergeCell ref="M59:N59"/>
    <mergeCell ref="M60:N60"/>
    <mergeCell ref="M61:N61"/>
    <mergeCell ref="M50:N50"/>
    <mergeCell ref="M51:N51"/>
    <mergeCell ref="M52:N52"/>
    <mergeCell ref="M53:N53"/>
    <mergeCell ref="M54:N54"/>
    <mergeCell ref="M55:N55"/>
    <mergeCell ref="M44:N44"/>
    <mergeCell ref="M45:N45"/>
    <mergeCell ref="M46:N46"/>
    <mergeCell ref="M47:N47"/>
    <mergeCell ref="M48:N48"/>
    <mergeCell ref="M49:N49"/>
    <mergeCell ref="M38:N38"/>
    <mergeCell ref="M39:N39"/>
    <mergeCell ref="M40:N40"/>
    <mergeCell ref="M41:N41"/>
    <mergeCell ref="M42:N42"/>
    <mergeCell ref="M43:N43"/>
    <mergeCell ref="M32:N32"/>
    <mergeCell ref="M33:N33"/>
    <mergeCell ref="M34:N34"/>
    <mergeCell ref="M35:N35"/>
    <mergeCell ref="M36:N36"/>
    <mergeCell ref="M37:N37"/>
    <mergeCell ref="M26:N26"/>
    <mergeCell ref="M27:N27"/>
    <mergeCell ref="M28:N28"/>
    <mergeCell ref="M29:N29"/>
    <mergeCell ref="M30:N30"/>
    <mergeCell ref="M31:N31"/>
    <mergeCell ref="M20:N20"/>
    <mergeCell ref="M21:N21"/>
    <mergeCell ref="M22:N22"/>
    <mergeCell ref="M23:N23"/>
    <mergeCell ref="M24:N24"/>
    <mergeCell ref="M25:N25"/>
    <mergeCell ref="M14:N14"/>
    <mergeCell ref="M15:N15"/>
    <mergeCell ref="M16:N16"/>
    <mergeCell ref="M17:N17"/>
    <mergeCell ref="M18:N18"/>
    <mergeCell ref="M19:N19"/>
    <mergeCell ref="M8:N8"/>
    <mergeCell ref="M9:N9"/>
    <mergeCell ref="M10:N10"/>
    <mergeCell ref="M11:N11"/>
    <mergeCell ref="M12:N12"/>
    <mergeCell ref="M13:N13"/>
    <mergeCell ref="M2:N2"/>
    <mergeCell ref="M3:N3"/>
    <mergeCell ref="M4:N4"/>
    <mergeCell ref="M5:N5"/>
    <mergeCell ref="M6:N6"/>
    <mergeCell ref="M7:N7"/>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B2EBDD-AA25-4D0F-A1C0-E8E22AE9B02C}">
  <sheetPr codeName="Sheet10"/>
  <dimension ref="A1:CE739"/>
  <sheetViews>
    <sheetView zoomScale="62" zoomScaleNormal="75" workbookViewId="0">
      <selection activeCell="A2" sqref="A2"/>
    </sheetView>
  </sheetViews>
  <sheetFormatPr defaultColWidth="8.5546875" defaultRowHeight="14.4" x14ac:dyDescent="0.3"/>
  <cols>
    <col min="1" max="1" width="15.44140625" customWidth="1"/>
    <col min="2" max="2" width="17.5546875" customWidth="1"/>
    <col min="3" max="3" width="10.44140625" customWidth="1"/>
    <col min="4" max="4" width="9.5546875" bestFit="1" customWidth="1"/>
    <col min="5" max="5" width="16.44140625" bestFit="1" customWidth="1"/>
    <col min="6" max="6" width="19.44140625" bestFit="1" customWidth="1"/>
    <col min="7" max="7" width="11.5546875" customWidth="1"/>
    <col min="8" max="8" width="21.44140625" bestFit="1" customWidth="1"/>
    <col min="9" max="9" width="21.44140625" customWidth="1"/>
    <col min="10" max="10" width="15" bestFit="1" customWidth="1"/>
    <col min="11" max="11" width="15.44140625" customWidth="1"/>
    <col min="12" max="12" width="21" customWidth="1"/>
    <col min="13" max="13" width="12" customWidth="1"/>
    <col min="14" max="14" width="19.44140625" customWidth="1"/>
    <col min="15" max="15" width="12.44140625" customWidth="1"/>
    <col min="16" max="16" width="14.44140625" bestFit="1" customWidth="1"/>
    <col min="17" max="17" width="15.5546875" customWidth="1"/>
    <col min="18" max="18" width="14.44140625" bestFit="1" customWidth="1"/>
    <col min="19" max="19" width="20.5546875" bestFit="1" customWidth="1"/>
    <col min="20" max="20" width="14.44140625" customWidth="1"/>
    <col min="21" max="21" width="13.44140625" customWidth="1"/>
    <col min="22" max="22" width="10.5546875" customWidth="1"/>
    <col min="23" max="23" width="14.44140625" customWidth="1"/>
    <col min="24" max="24" width="13" customWidth="1"/>
    <col min="25" max="26" width="12.44140625" customWidth="1"/>
    <col min="27" max="27" width="12.5546875" customWidth="1"/>
    <col min="28" max="28" width="10.44140625" customWidth="1"/>
    <col min="29" max="29" width="13.5546875" customWidth="1"/>
    <col min="30" max="30" width="13.44140625" customWidth="1"/>
    <col min="31" max="31" width="12" customWidth="1"/>
    <col min="32" max="33" width="12.44140625" customWidth="1"/>
    <col min="34" max="34" width="13.44140625" customWidth="1"/>
    <col min="35" max="35" width="17.44140625" customWidth="1"/>
    <col min="36" max="36" width="13.5546875" customWidth="1"/>
    <col min="37" max="38" width="11.5546875" customWidth="1"/>
    <col min="39" max="39" width="11" customWidth="1"/>
    <col min="40" max="40" width="11.44140625" customWidth="1"/>
    <col min="41" max="41" width="13" customWidth="1"/>
    <col min="42" max="42" width="11.5546875" customWidth="1"/>
    <col min="43" max="43" width="13.5546875" customWidth="1"/>
    <col min="44" max="44" width="11.5546875" customWidth="1"/>
    <col min="45" max="45" width="12.44140625" customWidth="1"/>
    <col min="46" max="46" width="12.44140625" bestFit="1" customWidth="1"/>
    <col min="47" max="47" width="10.5546875" style="44" customWidth="1"/>
    <col min="48" max="48" width="12.44140625" bestFit="1" customWidth="1"/>
  </cols>
  <sheetData>
    <row r="1" spans="1:83" s="13" customFormat="1" ht="34.200000000000003" x14ac:dyDescent="0.3">
      <c r="A1" s="11" t="s">
        <v>600</v>
      </c>
      <c r="B1" s="11" t="s">
        <v>44</v>
      </c>
      <c r="C1" s="11" t="s">
        <v>46</v>
      </c>
      <c r="D1" s="11" t="s">
        <v>47</v>
      </c>
      <c r="E1" s="11" t="s">
        <v>48</v>
      </c>
      <c r="F1" s="11" t="s">
        <v>49</v>
      </c>
      <c r="G1" s="11" t="s">
        <v>14</v>
      </c>
      <c r="H1" s="11" t="s">
        <v>50</v>
      </c>
      <c r="I1" s="11" t="s">
        <v>51</v>
      </c>
      <c r="J1" s="11" t="s">
        <v>52</v>
      </c>
      <c r="K1" s="11" t="s">
        <v>60</v>
      </c>
      <c r="L1" s="11" t="s">
        <v>61</v>
      </c>
      <c r="M1" s="11" t="s">
        <v>62</v>
      </c>
      <c r="N1" s="11" t="s">
        <v>58</v>
      </c>
      <c r="O1" s="11" t="s">
        <v>65</v>
      </c>
      <c r="P1" s="11" t="s">
        <v>67</v>
      </c>
      <c r="Q1" s="11" t="s">
        <v>53</v>
      </c>
      <c r="R1" s="11" t="s">
        <v>54</v>
      </c>
      <c r="S1" s="11" t="s">
        <v>601</v>
      </c>
      <c r="T1" s="11" t="s">
        <v>602</v>
      </c>
      <c r="U1" s="11" t="s">
        <v>57</v>
      </c>
      <c r="V1" s="11" t="s">
        <v>68</v>
      </c>
      <c r="W1" s="11" t="s">
        <v>63</v>
      </c>
      <c r="X1" s="11" t="s">
        <v>64</v>
      </c>
      <c r="Y1" s="11" t="s">
        <v>69</v>
      </c>
      <c r="Z1" s="11" t="s">
        <v>603</v>
      </c>
      <c r="AA1" s="11" t="s">
        <v>70</v>
      </c>
      <c r="AB1" s="11" t="s">
        <v>71</v>
      </c>
      <c r="AC1" s="11" t="s">
        <v>72</v>
      </c>
      <c r="AD1" s="11" t="s">
        <v>247</v>
      </c>
      <c r="AE1" s="11" t="s">
        <v>222</v>
      </c>
      <c r="AF1" s="11" t="s">
        <v>237</v>
      </c>
      <c r="AG1" s="11" t="s">
        <v>604</v>
      </c>
      <c r="AH1" s="11" t="s">
        <v>228</v>
      </c>
      <c r="AI1" s="11" t="s">
        <v>262</v>
      </c>
      <c r="AJ1" s="11" t="s">
        <v>218</v>
      </c>
      <c r="AK1" s="11" t="s">
        <v>605</v>
      </c>
      <c r="AL1" s="11" t="s">
        <v>234</v>
      </c>
      <c r="AM1" s="11" t="s">
        <v>606</v>
      </c>
      <c r="AN1" s="11" t="s">
        <v>216</v>
      </c>
      <c r="AO1" s="11" t="s">
        <v>215</v>
      </c>
      <c r="AP1" s="11" t="s">
        <v>263</v>
      </c>
      <c r="AQ1" s="11" t="s">
        <v>607</v>
      </c>
      <c r="AR1" s="11" t="s">
        <v>232</v>
      </c>
      <c r="AS1" s="11" t="s">
        <v>608</v>
      </c>
      <c r="AT1" s="11" t="s">
        <v>609</v>
      </c>
      <c r="AU1" s="11" t="s">
        <v>610</v>
      </c>
      <c r="AV1" s="11" t="s">
        <v>260</v>
      </c>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c r="CA1" s="11"/>
      <c r="CB1" s="11"/>
      <c r="CC1" s="11"/>
      <c r="CD1" s="11"/>
      <c r="CE1" s="11"/>
    </row>
    <row r="2" spans="1:83" ht="34.200000000000003" x14ac:dyDescent="0.3">
      <c r="A2" s="14" t="str">
        <f>IFERROR(INDEX('Static Data Tab'!$N$2:$N$610,MATCH(D2,'Static Data Tab'!$D$2:$D$610,0)), "")</f>
        <v>Sturdy Memorial Foundation</v>
      </c>
      <c r="B2" s="57" t="s">
        <v>181</v>
      </c>
      <c r="C2" s="57">
        <v>129</v>
      </c>
      <c r="D2" s="57">
        <v>12773</v>
      </c>
      <c r="E2" s="14" t="str">
        <f>IFERROR(INDEX('Prior YTD Data Pull'!$A$1:$CB$605,MATCH('Prior YTD Data Table'!$C2,'Prior YTD Data Pull'!$A$1:$A$605,0),MATCH("Organization Type",'Prior YTD Data Pull'!$A$1:$CB$1,0)),"")</f>
        <v>AcuteHospital</v>
      </c>
      <c r="F2" s="14" t="str">
        <f>IFERROR(INDEX('Static Data Tab'!$E$2:$E$610,MATCH('Prior YTD Data Table'!$C2,'Static Data Tab'!$B$2:$B$610,0)), "-")</f>
        <v>Community-High Public Payer Hospital</v>
      </c>
      <c r="G2" s="46" t="str">
        <f>IFERROR(INDEX('Static Data Tab'!$J$2:$J$610,MATCH('Prior YTD Data Table'!$C2,'Static Data Tab'!$B$2:$B$610,0)), "")</f>
        <v>Metro West</v>
      </c>
      <c r="H2" s="14" t="str">
        <f>IFERROR(INDEX('Static Data Tab'!$F$2:$F$610,MATCH('Prior YTD Data Table'!$C2,'Static Data Tab'!$B$2:$B$610,0)), "")</f>
        <v>x</v>
      </c>
      <c r="I2" s="14">
        <f>IFERROR(INDEX('Static Data Tab'!$G$2:$G$610,MATCH('Prior YTD Data Table'!$C2,'Static Data Tab'!$B$2:$B$610,0)), "")</f>
        <v>0</v>
      </c>
      <c r="J2" s="14" t="str">
        <f>IFERROR(INDEX('Prior YTD Data Pull'!$A$2:$CB$605,MATCH('Prior YTD Data Table'!$C2,'Prior YTD Data Pull'!$A$2:$A$605,0),MATCH("Quarter Range",'Prior YTD Data Pull'!$A$1:$CB$1,0)),"")</f>
        <v xml:space="preserve">10/01/2024-03/31/2025
</v>
      </c>
      <c r="K2" s="37">
        <f>IFERROR(($Q2-$U2)/$R2, "")</f>
        <v>4.0748262493208685E-4</v>
      </c>
      <c r="L2" s="37">
        <f>IFERROR($AG2/$R2, "")</f>
        <v>6.4012212135728039E-2</v>
      </c>
      <c r="M2" s="37">
        <f>IFERROR(($R2-$U2)/$R2, "")</f>
        <v>6.4419694760660132E-2</v>
      </c>
      <c r="N2" s="38">
        <f>IFERROR($R2-$U2, "")</f>
        <v>9091706</v>
      </c>
      <c r="O2" s="39">
        <f>IFERROR($AE2/$AF2, "")</f>
        <v>2.0225303628004889</v>
      </c>
      <c r="P2" s="38">
        <f>IFERROR(INDEX('Prior YTD Data Pull'!$A$2:$CB$605,MATCH('Prior YTD Data Table'!$C2,'Prior YTD Data Pull'!$A$2:$A$605,0),MATCH("Total Net Assets or Equity",'Prior YTD Data Pull'!$A$1:$CB$1,0)),"")</f>
        <v>566610177</v>
      </c>
      <c r="Q2" s="38">
        <f>IFERROR(INDEX('Prior YTD Data Pull'!$A$2:$CB$605,MATCH('Prior YTD Data Table'!$C2,'Prior YTD Data Pull'!$A$2:$A$605,0),MATCH("Total Operating Revenue",'Prior YTD Data Pull'!$A$1:$CB$1,0)),"")</f>
        <v>132098201</v>
      </c>
      <c r="R2" s="38">
        <f>IFERROR(INDEX('Prior YTD Data Pull'!$A$2:$CB$605,MATCH('Prior YTD Data Table'!$C2,'Prior YTD Data Pull'!$A$2:$A$605,0),MATCH("Total Unrestricted Revenue Gains and Other Support",'Prior YTD Data Pull'!$A$1:$CB$1,0)),"")</f>
        <v>141132398</v>
      </c>
      <c r="S2" s="38">
        <f>IFERROR(INDEX('Prior YTD TS Data Pull'!$J$2:$J$128,MATCH('Prior YTD Data Table'!$C2, 'Prior YTD TS Data Pull'!$A$2:$A$128,0))+INDEX('Prior YTD TS Data Pull'!$N$2:$N$128,MATCH('Prior YTD Data Table'!$C2,'Prior YTD TS Data Pull'!$A$2:$A$609,0))+INDEX('Prior YTD TS Data Pull'!$R$2:$R$128,MATCH('Prior YTD Data Table'!$C2,'Prior YTD TS Data Pull'!$A$2:$A$609,0)),"")</f>
        <v>240549.6</v>
      </c>
      <c r="T2" s="38">
        <f>IF(INDEX('Prior YTD TS Data Pull'!$A$1:$O$609,MATCH('Prior YTD Data Table'!$C2,'Prior YTD TS Data Pull'!$A$1:$A$609,0),MATCH("Temporary RN Staffing:
Line Reported on in Standardized Financials",'Prior YTD TS Data Pull'!$A$1:$O$1,0))="66.1: Salary and Benefit Expense",'Prior YTD Data Table'!$AV2-'Prior YTD Data Table'!$S2,0)</f>
        <v>0</v>
      </c>
      <c r="U2" s="38">
        <f>IFERROR(INDEX('Prior YTD Data Pull'!$A$2:$CB$605,MATCH('Prior YTD Data Table'!$C2,'Prior YTD Data Pull'!$A$2:$A$605,0),MATCH("Total Expenses Including Nonrecurring Gains Losses",'Prior YTD Data Pull'!$A$1:$CB$1,0)),"")</f>
        <v>132040692</v>
      </c>
      <c r="V2" s="41">
        <f>IFERROR($AH2/$AI2, "")</f>
        <v>25.03244393446661</v>
      </c>
      <c r="W2" s="41">
        <f>IFERROR($AJ2/($AD2/$AK2), "")</f>
        <v>40.797034342355907</v>
      </c>
      <c r="X2" s="41">
        <f t="shared" ref="X2:X65" si="0">IFERROR(($AF2-$AL2)/(($U2-$AI2)/$AK2), "")</f>
        <v>49.73173748964296</v>
      </c>
      <c r="Y2" s="37">
        <f>IFERROR((($N2+$AI2-$AU2)/($AM2+$AS2)), "")</f>
        <v>13.91743919927622</v>
      </c>
      <c r="Z2" s="41">
        <f t="shared" ref="Z2:Z65" si="1">IFERROR(($AO2+$AN2)/(($U2-$AI2)/$AK2), "")</f>
        <v>22.056725838529303</v>
      </c>
      <c r="AA2" s="39" t="str">
        <f>IFERROR(($N2+$AP2+$AI2-$AU2)/($AP2+$AQ2), "")</f>
        <v/>
      </c>
      <c r="AB2" s="37">
        <f>IFERROR($P2/$AR2, "")</f>
        <v>0.84839744471771372</v>
      </c>
      <c r="AC2" s="37">
        <f>IFERROR($AS2/($AS2+$AT2), "")</f>
        <v>0</v>
      </c>
      <c r="AD2" s="38">
        <f>IFERROR(INDEX('Prior YTD Data Pull'!$A$2:$CB$605,MATCH('Prior YTD Data Table'!$C2,'Prior YTD Data Pull'!$A$2:$A$605,0),MATCH("Net Patient Service Revenue",'Prior YTD Data Pull'!$A$1:$CB$1,0)),"")</f>
        <v>125681331</v>
      </c>
      <c r="AE2" s="38">
        <f>IFERROR(INDEX('Prior YTD Data Pull'!$A$2:$CB$605,MATCH('Prior YTD Data Table'!$C2,'Prior YTD Data Pull'!$A$2:$A$605,0),MATCH("Total Current Assets",'Prior YTD Data Pull'!$A$1:$CB$1,0)),"")</f>
        <v>71232498</v>
      </c>
      <c r="AF2" s="38">
        <f>IFERROR(INDEX('Prior YTD Data Pull'!$A$2:$CB$605,MATCH('Prior YTD Data Table'!$C2,'Prior YTD Data Pull'!$A$2:$A$605,0),MATCH("Total Current Liabilities",'Prior YTD Data Pull'!$A$1:$CB$1,0)),"")</f>
        <v>35219495</v>
      </c>
      <c r="AG2" s="38">
        <f>IFERROR(INDEX('Prior YTD Data Pull'!$A$2:$CB$605,MATCH('Prior YTD Data Table'!$C2,'Prior YTD Data Pull'!$A$2:$A$605,0),MATCH("Total Non Operating Revenue",'Prior YTD Data Pull'!$A$1:$CB$1,0)),"")</f>
        <v>9034197</v>
      </c>
      <c r="AH2" s="38">
        <f>IFERROR(INDEX('Prior YTD Data Pull'!$A$2:$CB$605,MATCH('Prior YTD Data Table'!$C2,'Prior Year Data Pull'!$A$2:$A$593,0),MATCH("Less Accumulated Depreciation",'Prior YTD Data Pull'!$A$1:$CB$1,0)),"")</f>
        <v>175202000</v>
      </c>
      <c r="AI2" s="38">
        <f>IFERROR(INDEX('Prior YTD Data Pull'!$A$2:$CB$605,MATCH('Prior YTD Data Table'!$C2,'Prior YTD Data Pull'!$A$2:$A$605,0),MATCH("Depreciation and Amortization Expense",'Prior YTD Data Pull'!$A$1:$CB$1,0)),"")</f>
        <v>6998997</v>
      </c>
      <c r="AJ2" s="38">
        <f>IFERROR(INDEX('Prior YTD Data Pull'!$A$2:$CB$605,MATCH('Prior YTD Data Table'!$C2,'Prior YTD Data Pull'!$A$2:$A$605,0),MATCH("Net Patient Accounts Receivable",'Prior YTD Data Pull'!$A$1:$CB$1,0)),"")</f>
        <v>28018719</v>
      </c>
      <c r="AK2" s="14" t="str">
        <f>IF('Prior YTD Data Pull'!$H2 = 6, "183", IF('Prior YTD Data Pull'!$H2 = 3, "93",""))</f>
        <v>183</v>
      </c>
      <c r="AL2" s="38">
        <f>IFERROR(INDEX('Prior YTD Data Pull'!$A$2:$CB$605,MATCH('Prior YTD Data Table'!$C2,'Prior YTD Data Pull'!$A$2:$A$605,0),MATCH("Estimated Third Party Settlements",'Prior YTD Data Pull'!$A$1:$CB$1,0)),"")</f>
        <v>1238398</v>
      </c>
      <c r="AM2" s="38">
        <f>IFERROR(INDEX('Prior YTD Data Pull'!$A$2:$CB$605,MATCH('Prior YTD Data Table'!$C2,'Prior YTD Data Pull'!$A$2:$A$605,0),MATCH("Current Liabilities due to Affiliates",'Prior YTD Data Pull'!$A$1:$CB$1,0)),"")</f>
        <v>1156154</v>
      </c>
      <c r="AN2" s="38">
        <f>IFERROR(INDEX('Prior YTD Data Pull'!$A$2:$CB$605,MATCH('Prior YTD Data Table'!$C2,'Prior YTD Data Pull'!$A$2:$A$605,0),MATCH("Short Term Investments",'Prior YTD Data Pull'!$A$1:$CB$1,0)),"")</f>
        <v>0</v>
      </c>
      <c r="AO2" s="38">
        <f>IFERROR(INDEX('Prior YTD Data Pull'!$A$2:$CB$605,MATCH('Prior YTD Data Table'!$C2,'Prior YTD Data Pull'!$A$2:$A$605,0),MATCH("Cash and Cash Equivalents",'Prior YTD Data Pull'!$A$1:$CB$1,0)),"")</f>
        <v>15071095</v>
      </c>
      <c r="AP2" s="38">
        <f>IFERROR(INDEX('Prior YTD Data Pull'!$A$2:$CB$605,MATCH('Prior YTD Data Table'!$C2,'Prior YTD Data Pull'!$A$2:$A$605,0),MATCH("Interest Expense",'Prior YTD Data Pull'!$A$1:$CB$1,0)),"")</f>
        <v>0</v>
      </c>
      <c r="AQ2" s="38">
        <f>IFERROR(INDEX('Prior YTD Data Pull'!$A$2:$CB$605,MATCH('Prior YTD Data Table'!$C2,'Prior YTD Data Pull'!$A$2:$A$605,0),MATCH("Long Term Debt Net of Current Portion",'Prior YTD Data Pull'!$A$1:$CB$1,0)),"")</f>
        <v>0</v>
      </c>
      <c r="AR2" s="38">
        <f>IFERROR(INDEX('Prior YTD Data Pull'!$A$2:$CB$605,MATCH('Prior YTD Data Table'!$C2,'Prior YTD Data Pull'!$A$2:$A$605,0),MATCH("Total Assets",'Prior YTD Data Pull'!$A$1:$CB$1,0)),"")</f>
        <v>667859363</v>
      </c>
      <c r="AS2" s="38">
        <f>IFERROR(INDEX('Prior YTD Data Pull'!$A$2:$CB$605,MATCH('Prior YTD Data Table'!$C2,'Prior YTD Data Pull'!$A$2:$A$605,0),MATCH("Long Term Debt Net of Current Portion",'Prior YTD Data Pull'!$A$1:$CB$1,0)),"")</f>
        <v>0</v>
      </c>
      <c r="AT2" s="38">
        <f>IFERROR(INDEX('Prior YTD Data Pull'!$A$2:$CB$605,MATCH('Prior YTD Data Table'!$C2,'Prior YTD Data Pull'!$A$2:$A$605,0),MATCH("Net Unrestricted Assets",'Prior YTD Data Pull'!$A$1:$CB$1,0)),"")</f>
        <v>566587586</v>
      </c>
      <c r="AU2" s="38">
        <f>IFERROR(INDEX('Prior YTD Data Pull'!$A$2:$CB$605,MATCH('Prior YTD Data Table'!$C2,'Prior YTD Data Pull'!$A$2:$A$605,0),MATCH("Unrealized Gains/Losses",'Prior YTD Data Pull'!$A$1:$CB$1,0)),"")</f>
        <v>0</v>
      </c>
      <c r="AV2" s="38">
        <f>IFERROR(INDEX('Prior YTD Data Pull'!$A$2:$CB$605,MATCH('Prior YTD Data Table'!$C2,'Prior YTD Data Pull'!$A$2:$A$605,0),MATCH("Salary and Benefit Expense",'Prior YTD Data Pull'!$A$1:$CB$1,0)),"")</f>
        <v>76562948</v>
      </c>
      <c r="AW2" s="38"/>
      <c r="AX2" s="38"/>
      <c r="AY2" s="38"/>
      <c r="AZ2" s="38"/>
    </row>
    <row r="3" spans="1:83" ht="34.200000000000003" x14ac:dyDescent="0.3">
      <c r="A3" s="14" t="str">
        <f>IFERROR(INDEX('Static Data Tab'!$N$2:$N$610,MATCH(D3,'Static Data Tab'!$D$2:$D$610,0)), "")</f>
        <v>Signature Healthcare Corporation</v>
      </c>
      <c r="B3" s="14" t="s">
        <v>164</v>
      </c>
      <c r="C3" s="14">
        <v>25</v>
      </c>
      <c r="D3" s="14">
        <v>9991</v>
      </c>
      <c r="E3" s="14" t="str">
        <f>IFERROR(INDEX('Prior YTD Data Pull'!$A$1:$CB$605,MATCH('Prior YTD Data Table'!$C3,'Prior YTD Data Pull'!$A$1:$A$605,0),MATCH("Organization Type",'Prior YTD Data Pull'!$A$1:$CB$1,0)),"")</f>
        <v>AcuteHospital</v>
      </c>
      <c r="F3" s="14" t="str">
        <f>IFERROR(INDEX('Static Data Tab'!$E$2:$E$610,MATCH('Prior YTD Data Table'!$C3,'Static Data Tab'!$B$2:$B$610,0)), "-")</f>
        <v>Community-High Public Payer Hospital</v>
      </c>
      <c r="G3" s="46" t="str">
        <f>IFERROR(INDEX('Static Data Tab'!$J$2:$J$610,MATCH('Prior YTD Data Table'!$C3,'Static Data Tab'!$B$2:$B$610,0)), "")</f>
        <v>Metro South</v>
      </c>
      <c r="H3" s="14" t="str">
        <f>IFERROR(INDEX('Static Data Tab'!$F$2:$F$610,MATCH('Prior YTD Data Table'!$C3,'Static Data Tab'!$B$2:$B$610,0)), "")</f>
        <v>x</v>
      </c>
      <c r="I3" s="14">
        <f>IFERROR(INDEX('Static Data Tab'!$G$2:$G$610,MATCH('Prior YTD Data Table'!$C3,'Static Data Tab'!$B$2:$B$610,0)), "")</f>
        <v>0</v>
      </c>
      <c r="J3" s="14" t="str">
        <f>IFERROR(INDEX('Prior YTD Data Pull'!$A$2:$CB$605,MATCH('Prior YTD Data Table'!$C3,'Prior YTD Data Pull'!$A$2:$A$605,0),MATCH("Quarter Range",'Prior YTD Data Pull'!$A$1:$CB$1,0)),"")</f>
        <v xml:space="preserve">10/01/2024-03/31/2025
</v>
      </c>
      <c r="K3" s="37">
        <f t="shared" ref="K3:K66" si="2">IFERROR(($Q3-$U3)/$R3, "")</f>
        <v>-0.12978982691074964</v>
      </c>
      <c r="L3" s="37">
        <f t="shared" ref="L3:L66" si="3">IFERROR($AG3/$R3, "")</f>
        <v>0.20914294863597988</v>
      </c>
      <c r="M3" s="37">
        <f t="shared" ref="M3:M66" si="4">IFERROR(($R3-$U3)/$R3, "")</f>
        <v>7.9353121725230222E-2</v>
      </c>
      <c r="N3" s="38">
        <f t="shared" ref="N3:N66" si="5">IFERROR($R3-$U3, "")</f>
        <v>21018697</v>
      </c>
      <c r="O3" s="39">
        <f t="shared" ref="O3:O66" si="6">IFERROR($AE3/$AF3, "")</f>
        <v>1.0819334543570711</v>
      </c>
      <c r="P3" s="38">
        <f>IFERROR(INDEX('Prior YTD Data Pull'!$A$2:$CB$605,MATCH('Prior YTD Data Table'!$C3,'Prior YTD Data Pull'!$A$2:$A$605,0),MATCH("Total Net Assets or Equity",'Prior YTD Data Pull'!$A$1:$CB$1,0)),"")</f>
        <v>248064407</v>
      </c>
      <c r="Q3" s="38">
        <f>IFERROR(INDEX('Prior YTD Data Pull'!$A$2:$CB$605,MATCH('Prior YTD Data Table'!$C3,'Prior YTD Data Pull'!$A$2:$A$605,0),MATCH("Total Operating Revenue",'Prior YTD Data Pull'!$A$1:$CB$1,0)),"")</f>
        <v>209478649</v>
      </c>
      <c r="R3" s="38">
        <f>IFERROR(INDEX('Prior YTD Data Pull'!$A$2:$CB$605,MATCH('Prior YTD Data Table'!$C3,'Prior YTD Data Pull'!$A$2:$A$605,0),MATCH("Total Unrestricted Revenue Gains and Other Support",'Prior YTD Data Pull'!$A$1:$CB$1,0)),"")</f>
        <v>264875490</v>
      </c>
      <c r="S3" s="38">
        <f>IFERROR(INDEX('Prior YTD TS Data Pull'!$J$2:$J$128,MATCH('Prior YTD Data Table'!$C3, 'Prior YTD TS Data Pull'!$A$2:$A$128,0))+INDEX('Prior YTD TS Data Pull'!$N$2:$N$128,MATCH('Prior YTD Data Table'!$C3,'Prior YTD TS Data Pull'!$A$2:$A$609,0))+INDEX('Prior YTD TS Data Pull'!$R$2:$R$128,MATCH('Prior YTD Data Table'!$C3,'Prior YTD TS Data Pull'!$A$2:$A$609,0)),"")</f>
        <v>19644009.5</v>
      </c>
      <c r="T3" s="38">
        <f>IF(INDEX('Prior YTD TS Data Pull'!$A$1:$O$609,MATCH('Prior YTD Data Table'!$C3,'Prior YTD TS Data Pull'!$A$1:$A$609,0),MATCH("Temporary RN Staffing:
Line Reported on in Standardized Financials",'Prior YTD TS Data Pull'!$A$1:$O$1,0))="66.1: Salary and Benefit Expense",'Prior YTD Data Table'!$AV3-'Prior YTD Data Table'!$S3,0)</f>
        <v>0</v>
      </c>
      <c r="U3" s="38">
        <f>IFERROR(INDEX('Prior YTD Data Pull'!$A$2:$CB$605,MATCH('Prior YTD Data Table'!$C3,'Prior YTD Data Pull'!$A$2:$A$605,0),MATCH("Total Expenses Including Nonrecurring Gains Losses",'Prior YTD Data Pull'!$A$1:$CB$1,0)),"")</f>
        <v>243856793</v>
      </c>
      <c r="V3" s="41">
        <f t="shared" ref="V3:V66" si="7">IFERROR($AH3/$AI3, "")</f>
        <v>0</v>
      </c>
      <c r="W3" s="41">
        <f t="shared" ref="W3:W66" si="8">IFERROR($AJ3/($AD3/$AK3), "")</f>
        <v>37.034799701946483</v>
      </c>
      <c r="X3" s="41">
        <f t="shared" si="0"/>
        <v>78.382457431266189</v>
      </c>
      <c r="Y3" s="37">
        <f t="shared" ref="Y3:Y66" si="9">IFERROR((($N3+$AI3-$AU3)/($AM3+$AS3)), "")</f>
        <v>0.31998718548173938</v>
      </c>
      <c r="Z3" s="41">
        <f t="shared" si="1"/>
        <v>22.772546683742885</v>
      </c>
      <c r="AA3" s="39">
        <f t="shared" ref="AA3:AA66" si="10">IFERROR(($N3+$AP3+$AI3-$AU3)/($AP3+$AQ3), "")</f>
        <v>0.33265000379809573</v>
      </c>
      <c r="AB3" s="37">
        <f t="shared" ref="AB3:AB66" si="11">IFERROR($P3/$AR3, "")</f>
        <v>0.52286289196436153</v>
      </c>
      <c r="AC3" s="37">
        <f t="shared" ref="AC3:AC66" si="12">IFERROR($AS3/($AS3+$AT3), "")</f>
        <v>0.28534621464956533</v>
      </c>
      <c r="AD3" s="38">
        <f>IFERROR(INDEX('Prior YTD Data Pull'!$A$2:$CB$605,MATCH('Prior YTD Data Table'!$C3,'Prior YTD Data Pull'!$A$2:$A$605,0),MATCH("Net Patient Service Revenue",'Prior YTD Data Pull'!$A$1:$CB$1,0)),"")</f>
        <v>149548982</v>
      </c>
      <c r="AE3" s="38">
        <f>IFERROR(INDEX('Prior YTD Data Pull'!$A$2:$CB$605,MATCH('Prior YTD Data Table'!$C3,'Prior YTD Data Pull'!$A$2:$A$605,0),MATCH("Total Current Assets",'Prior YTD Data Pull'!$A$1:$CB$1,0)),"")</f>
        <v>136612155</v>
      </c>
      <c r="AF3" s="38">
        <f>IFERROR(INDEX('Prior YTD Data Pull'!$A$2:$CB$605,MATCH('Prior YTD Data Table'!$C3,'Prior YTD Data Pull'!$A$2:$A$605,0),MATCH("Total Current Liabilities",'Prior YTD Data Pull'!$A$1:$CB$1,0)),"")</f>
        <v>126266689</v>
      </c>
      <c r="AG3" s="38">
        <f>IFERROR(INDEX('Prior YTD Data Pull'!$A$2:$CB$605,MATCH('Prior YTD Data Table'!$C3,'Prior YTD Data Pull'!$A$2:$A$605,0),MATCH("Total Non Operating Revenue",'Prior YTD Data Pull'!$A$1:$CB$1,0)),"")</f>
        <v>55396841</v>
      </c>
      <c r="AH3" s="38">
        <f>IFERROR(INDEX('Prior YTD Data Pull'!$A$2:$CB$605,MATCH('Prior YTD Data Table'!$C3,'Prior Year Data Pull'!$A$2:$A$593,0),MATCH("Less Accumulated Depreciation",'Prior YTD Data Pull'!$A$1:$CB$1,0)),"")</f>
        <v>0</v>
      </c>
      <c r="AI3" s="38">
        <f>IFERROR(INDEX('Prior YTD Data Pull'!$A$2:$CB$605,MATCH('Prior YTD Data Table'!$C3,'Prior YTD Data Pull'!$A$2:$A$605,0),MATCH("Depreciation and Amortization Expense",'Prior YTD Data Pull'!$A$1:$CB$1,0)),"")</f>
        <v>8688417</v>
      </c>
      <c r="AJ3" s="38">
        <f>IFERROR(INDEX('Prior YTD Data Pull'!$A$2:$CB$605,MATCH('Prior YTD Data Table'!$C3,'Prior YTD Data Pull'!$A$2:$A$605,0),MATCH("Net Patient Accounts Receivable",'Prior YTD Data Pull'!$A$1:$CB$1,0)),"")</f>
        <v>30265118</v>
      </c>
      <c r="AK3" s="14" t="str">
        <f>IF('Prior YTD Data Pull'!$H3 = 6, "183", IF('Prior YTD Data Pull'!$H3 = 3, "93",""))</f>
        <v>183</v>
      </c>
      <c r="AL3" s="38">
        <f>IFERROR(INDEX('Prior YTD Data Pull'!$A$2:$CB$605,MATCH('Prior YTD Data Table'!$C3,'Prior YTD Data Pull'!$A$2:$A$605,0),MATCH("Estimated Third Party Settlements",'Prior YTD Data Pull'!$A$1:$CB$1,0)),"")</f>
        <v>25539502</v>
      </c>
      <c r="AM3" s="38">
        <f>IFERROR(INDEX('Prior YTD Data Pull'!$A$2:$CB$605,MATCH('Prior YTD Data Table'!$C3,'Prior YTD Data Pull'!$A$2:$A$605,0),MATCH("Current Liabilities due to Affiliates",'Prior YTD Data Pull'!$A$1:$CB$1,0)),"")</f>
        <v>0</v>
      </c>
      <c r="AN3" s="38">
        <f>IFERROR(INDEX('Prior YTD Data Pull'!$A$2:$CB$605,MATCH('Prior YTD Data Table'!$C3,'Prior YTD Data Pull'!$A$2:$A$605,0),MATCH("Short Term Investments",'Prior YTD Data Pull'!$A$1:$CB$1,0)),"")</f>
        <v>0</v>
      </c>
      <c r="AO3" s="38">
        <f>IFERROR(INDEX('Prior YTD Data Pull'!$A$2:$CB$605,MATCH('Prior YTD Data Table'!$C3,'Prior YTD Data Pull'!$A$2:$A$605,0),MATCH("Cash and Cash Equivalents",'Prior YTD Data Pull'!$A$1:$CB$1,0)),"")</f>
        <v>29264387</v>
      </c>
      <c r="AP3" s="38">
        <f>IFERROR(INDEX('Prior YTD Data Pull'!$A$2:$CB$605,MATCH('Prior YTD Data Table'!$C3,'Prior YTD Data Pull'!$A$2:$A$605,0),MATCH("Interest Expense",'Prior YTD Data Pull'!$A$1:$CB$1,0)),"")</f>
        <v>1761589</v>
      </c>
      <c r="AQ3" s="38">
        <f>IFERROR(INDEX('Prior YTD Data Pull'!$A$2:$CB$605,MATCH('Prior YTD Data Table'!$C3,'Prior YTD Data Pull'!$A$2:$A$605,0),MATCH("Long Term Debt Net of Current Portion",'Prior YTD Data Pull'!$A$1:$CB$1,0)),"")</f>
        <v>92838449</v>
      </c>
      <c r="AR3" s="38">
        <f>IFERROR(INDEX('Prior YTD Data Pull'!$A$2:$CB$605,MATCH('Prior YTD Data Table'!$C3,'Prior YTD Data Pull'!$A$2:$A$605,0),MATCH("Total Assets",'Prior YTD Data Pull'!$A$1:$CB$1,0)),"")</f>
        <v>474434906</v>
      </c>
      <c r="AS3" s="38">
        <f>IFERROR(INDEX('Prior YTD Data Pull'!$A$2:$CB$605,MATCH('Prior YTD Data Table'!$C3,'Prior YTD Data Pull'!$A$2:$A$605,0),MATCH("Long Term Debt Net of Current Portion",'Prior YTD Data Pull'!$A$1:$CB$1,0)),"")</f>
        <v>92838449</v>
      </c>
      <c r="AT3" s="38">
        <f>IFERROR(INDEX('Prior YTD Data Pull'!$A$2:$CB$605,MATCH('Prior YTD Data Table'!$C3,'Prior YTD Data Pull'!$A$2:$A$605,0),MATCH("Net Unrestricted Assets",'Prior YTD Data Pull'!$A$1:$CB$1,0)),"")</f>
        <v>232515259</v>
      </c>
      <c r="AU3" s="38">
        <f>IFERROR(INDEX('Prior YTD Data Pull'!$A$2:$CB$605,MATCH('Prior YTD Data Table'!$C3,'Prior YTD Data Pull'!$A$2:$A$605,0),MATCH("Unrealized Gains/Losses",'Prior YTD Data Pull'!$A$1:$CB$1,0)),"")</f>
        <v>0</v>
      </c>
      <c r="AV3" s="38">
        <f>IFERROR(INDEX('Prior YTD Data Pull'!$A$2:$CB$605,MATCH('Prior YTD Data Table'!$C3,'Prior YTD Data Pull'!$A$2:$A$605,0),MATCH("Salary and Benefit Expense",'Prior YTD Data Pull'!$A$1:$CB$1,0)),"")</f>
        <v>125813043</v>
      </c>
      <c r="AW3" s="47"/>
      <c r="AX3" s="47"/>
      <c r="AY3" s="47"/>
      <c r="AZ3" s="47"/>
    </row>
    <row r="4" spans="1:83" ht="34.200000000000003" x14ac:dyDescent="0.3">
      <c r="A4" s="14" t="str">
        <f>IFERROR(INDEX('Static Data Tab'!$N$2:$N$610,MATCH(D4,'Static Data Tab'!$D$2:$D$610,0)), "")</f>
        <v xml:space="preserve">Baystate Health </v>
      </c>
      <c r="B4" s="57" t="s">
        <v>79</v>
      </c>
      <c r="C4" s="57">
        <v>4</v>
      </c>
      <c r="D4" s="57">
        <v>4066</v>
      </c>
      <c r="E4" s="14" t="str">
        <f>IFERROR(INDEX('Prior YTD Data Pull'!$A$1:$CB$605,MATCH('Prior YTD Data Table'!$C4,'Prior YTD Data Pull'!$A$1:$A$605,0),MATCH("Organization Type",'Prior YTD Data Pull'!$A$1:$CB$1,0)),"")</f>
        <v>AcuteHospital</v>
      </c>
      <c r="F4" s="14" t="str">
        <f>IFERROR(INDEX('Static Data Tab'!$E$2:$E$610,MATCH('Prior YTD Data Table'!$C4,'Static Data Tab'!$B$2:$B$610,0)), "-")</f>
        <v>Teaching Hospital</v>
      </c>
      <c r="G4" s="46" t="str">
        <f>IFERROR(INDEX('Static Data Tab'!$J$2:$J$610,MATCH('Prior YTD Data Table'!$C4,'Static Data Tab'!$B$2:$B$610,0)), "")</f>
        <v>Western Massachusetts</v>
      </c>
      <c r="H4" s="14" t="str">
        <f>IFERROR(INDEX('Static Data Tab'!$F$2:$F$610,MATCH('Prior YTD Data Table'!$C4,'Static Data Tab'!$B$2:$B$610,0)), "")</f>
        <v>x</v>
      </c>
      <c r="I4" s="14" t="str">
        <f>IFERROR(INDEX('Static Data Tab'!$G$2:$G$610,MATCH('Prior YTD Data Table'!$C4,'Static Data Tab'!$B$2:$B$610,0)), "")</f>
        <v>x</v>
      </c>
      <c r="J4" s="14" t="str">
        <f>IFERROR(INDEX('Prior YTD Data Pull'!$A$2:$CB$605,MATCH('Prior YTD Data Table'!$C4,'Prior YTD Data Pull'!$A$2:$A$605,0),MATCH("Quarter Range",'Prior YTD Data Pull'!$A$1:$CB$1,0)),"")</f>
        <v xml:space="preserve">10/01/2024-03/31/2025
</v>
      </c>
      <c r="K4" s="37">
        <f t="shared" si="2"/>
        <v>5.3516657333451227E-2</v>
      </c>
      <c r="L4" s="37">
        <f t="shared" si="3"/>
        <v>3.3864835391552951E-3</v>
      </c>
      <c r="M4" s="37">
        <f t="shared" si="4"/>
        <v>5.690314087260652E-2</v>
      </c>
      <c r="N4" s="38">
        <f t="shared" si="5"/>
        <v>57920000</v>
      </c>
      <c r="O4" s="39">
        <f t="shared" si="6"/>
        <v>2.7820192850445271</v>
      </c>
      <c r="P4" s="38">
        <f>IFERROR(INDEX('Prior YTD Data Pull'!$A$2:$CB$605,MATCH('Prior YTD Data Table'!$C4,'Prior YTD Data Pull'!$A$2:$A$605,0),MATCH("Total Net Assets or Equity",'Prior YTD Data Pull'!$A$1:$CB$1,0)),"")</f>
        <v>961662000</v>
      </c>
      <c r="Q4" s="38">
        <f>IFERROR(INDEX('Prior YTD Data Pull'!$A$2:$CB$605,MATCH('Prior YTD Data Table'!$C4,'Prior YTD Data Pull'!$A$2:$A$605,0),MATCH("Total Operating Revenue",'Prior YTD Data Pull'!$A$1:$CB$1,0)),"")</f>
        <v>1014423000</v>
      </c>
      <c r="R4" s="38">
        <f>IFERROR(INDEX('Prior YTD Data Pull'!$A$2:$CB$605,MATCH('Prior YTD Data Table'!$C4,'Prior YTD Data Pull'!$A$2:$A$605,0),MATCH("Total Unrestricted Revenue Gains and Other Support",'Prior YTD Data Pull'!$A$1:$CB$1,0)),"")</f>
        <v>1017870000</v>
      </c>
      <c r="S4" s="38">
        <f>IFERROR(INDEX('Prior YTD TS Data Pull'!$J$2:$J$128,MATCH('Prior YTD Data Table'!$C4, 'Prior YTD TS Data Pull'!$A$2:$A$128,0))+INDEX('Prior YTD TS Data Pull'!$N$2:$N$128,MATCH('Prior YTD Data Table'!$C4,'Prior YTD TS Data Pull'!$A$2:$A$609,0))+INDEX('Prior YTD TS Data Pull'!$R$2:$R$128,MATCH('Prior YTD Data Table'!$C4,'Prior YTD TS Data Pull'!$A$2:$A$609,0)),"")</f>
        <v>6646704</v>
      </c>
      <c r="T4" s="38">
        <f>IF(INDEX('Prior YTD TS Data Pull'!$A$1:$O$609,MATCH('Prior YTD Data Table'!$C4,'Prior YTD TS Data Pull'!$A$1:$A$609,0),MATCH("Temporary RN Staffing:
Line Reported on in Standardized Financials",'Prior YTD TS Data Pull'!$A$1:$O$1,0))="66.1: Salary and Benefit Expense",'Prior YTD Data Table'!$AV4-'Prior YTD Data Table'!$S4,0)</f>
        <v>0</v>
      </c>
      <c r="U4" s="38">
        <f>IFERROR(INDEX('Prior YTD Data Pull'!$A$2:$CB$605,MATCH('Prior YTD Data Table'!$C4,'Prior YTD Data Pull'!$A$2:$A$605,0),MATCH("Total Expenses Including Nonrecurring Gains Losses",'Prior YTD Data Pull'!$A$1:$CB$1,0)),"")</f>
        <v>959950000</v>
      </c>
      <c r="V4" s="41">
        <f t="shared" si="7"/>
        <v>0.84918638506055721</v>
      </c>
      <c r="W4" s="41">
        <f t="shared" si="8"/>
        <v>40.93394431464133</v>
      </c>
      <c r="X4" s="41">
        <f t="shared" si="0"/>
        <v>34.974975929052228</v>
      </c>
      <c r="Y4" s="37">
        <f t="shared" si="9"/>
        <v>0.18722553300311701</v>
      </c>
      <c r="Z4" s="41">
        <f t="shared" si="1"/>
        <v>34.156004568082999</v>
      </c>
      <c r="AA4" s="39">
        <f t="shared" si="10"/>
        <v>0.20026735044568722</v>
      </c>
      <c r="AB4" s="37">
        <f t="shared" si="11"/>
        <v>0.56842198592040483</v>
      </c>
      <c r="AC4" s="37">
        <f t="shared" si="12"/>
        <v>0.33577530225436886</v>
      </c>
      <c r="AD4" s="38">
        <f>IFERROR(INDEX('Prior YTD Data Pull'!$A$2:$CB$605,MATCH('Prior YTD Data Table'!$C4,'Prior YTD Data Pull'!$A$2:$A$605,0),MATCH("Net Patient Service Revenue",'Prior YTD Data Pull'!$A$1:$CB$1,0)),"")</f>
        <v>949729000</v>
      </c>
      <c r="AE4" s="38">
        <f>IFERROR(INDEX('Prior YTD Data Pull'!$A$2:$CB$605,MATCH('Prior YTD Data Table'!$C4,'Prior YTD Data Pull'!$A$2:$A$605,0),MATCH("Total Current Assets",'Prior YTD Data Pull'!$A$1:$CB$1,0)),"")</f>
        <v>596362000</v>
      </c>
      <c r="AF4" s="38">
        <f>IFERROR(INDEX('Prior YTD Data Pull'!$A$2:$CB$605,MATCH('Prior YTD Data Table'!$C4,'Prior YTD Data Pull'!$A$2:$A$605,0),MATCH("Total Current Liabilities",'Prior YTD Data Pull'!$A$1:$CB$1,0)),"")</f>
        <v>214363000</v>
      </c>
      <c r="AG4" s="38">
        <f>IFERROR(INDEX('Prior YTD Data Pull'!$A$2:$CB$605,MATCH('Prior YTD Data Table'!$C4,'Prior YTD Data Pull'!$A$2:$A$605,0),MATCH("Total Non Operating Revenue",'Prior YTD Data Pull'!$A$1:$CB$1,0)),"")</f>
        <v>3447000</v>
      </c>
      <c r="AH4" s="38">
        <f>IFERROR(INDEX('Prior YTD Data Pull'!$A$2:$CB$605,MATCH('Prior YTD Data Table'!$C4,'Prior Year Data Pull'!$A$2:$A$593,0),MATCH("Less Accumulated Depreciation",'Prior YTD Data Pull'!$A$1:$CB$1,0)),"")</f>
        <v>28466426</v>
      </c>
      <c r="AI4" s="38">
        <f>IFERROR(INDEX('Prior YTD Data Pull'!$A$2:$CB$605,MATCH('Prior YTD Data Table'!$C4,'Prior YTD Data Pull'!$A$2:$A$605,0),MATCH("Depreciation and Amortization Expense",'Prior YTD Data Pull'!$A$1:$CB$1,0)),"")</f>
        <v>33522000</v>
      </c>
      <c r="AJ4" s="38">
        <f>IFERROR(INDEX('Prior YTD Data Pull'!$A$2:$CB$605,MATCH('Prior YTD Data Table'!$C4,'Prior YTD Data Pull'!$A$2:$A$605,0),MATCH("Net Patient Accounts Receivable",'Prior YTD Data Pull'!$A$1:$CB$1,0)),"")</f>
        <v>212438000</v>
      </c>
      <c r="AK4" s="14" t="str">
        <f>IF('Prior YTD Data Pull'!$H4 = 6, "183", IF('Prior YTD Data Pull'!$H4 = 3, "93",""))</f>
        <v>183</v>
      </c>
      <c r="AL4" s="38">
        <f>IFERROR(INDEX('Prior YTD Data Pull'!$A$2:$CB$605,MATCH('Prior YTD Data Table'!$C4,'Prior YTD Data Pull'!$A$2:$A$605,0),MATCH("Estimated Third Party Settlements",'Prior YTD Data Pull'!$A$1:$CB$1,0)),"")</f>
        <v>37304000</v>
      </c>
      <c r="AM4" s="38">
        <f>IFERROR(INDEX('Prior YTD Data Pull'!$A$2:$CB$605,MATCH('Prior YTD Data Table'!$C4,'Prior YTD Data Pull'!$A$2:$A$605,0),MATCH("Current Liabilities due to Affiliates",'Prior YTD Data Pull'!$A$1:$CB$1,0)),"")</f>
        <v>67000</v>
      </c>
      <c r="AN4" s="38">
        <f>IFERROR(INDEX('Prior YTD Data Pull'!$A$2:$CB$605,MATCH('Prior YTD Data Table'!$C4,'Prior YTD Data Pull'!$A$2:$A$605,0),MATCH("Short Term Investments",'Prior YTD Data Pull'!$A$1:$CB$1,0)),"")</f>
        <v>90220000</v>
      </c>
      <c r="AO4" s="38">
        <f>IFERROR(INDEX('Prior YTD Data Pull'!$A$2:$CB$605,MATCH('Prior YTD Data Table'!$C4,'Prior YTD Data Pull'!$A$2:$A$605,0),MATCH("Cash and Cash Equivalents",'Prior YTD Data Pull'!$A$1:$CB$1,0)),"")</f>
        <v>82693000</v>
      </c>
      <c r="AP4" s="38">
        <f>IFERROR(INDEX('Prior YTD Data Pull'!$A$2:$CB$605,MATCH('Prior YTD Data Table'!$C4,'Prior YTD Data Pull'!$A$2:$A$605,0),MATCH("Interest Expense",'Prior YTD Data Pull'!$A$1:$CB$1,0)),"")</f>
        <v>7763000</v>
      </c>
      <c r="AQ4" s="38">
        <f>IFERROR(INDEX('Prior YTD Data Pull'!$A$2:$CB$605,MATCH('Prior YTD Data Table'!$C4,'Prior YTD Data Pull'!$A$2:$A$605,0),MATCH("Long Term Debt Net of Current Portion",'Prior YTD Data Pull'!$A$1:$CB$1,0)),"")</f>
        <v>476994000</v>
      </c>
      <c r="AR4" s="38">
        <f>IFERROR(INDEX('Prior YTD Data Pull'!$A$2:$CB$605,MATCH('Prior YTD Data Table'!$C4,'Prior YTD Data Pull'!$A$2:$A$605,0),MATCH("Total Assets",'Prior YTD Data Pull'!$A$1:$CB$1,0)),"")</f>
        <v>1691810000</v>
      </c>
      <c r="AS4" s="38">
        <f>IFERROR(INDEX('Prior YTD Data Pull'!$A$2:$CB$605,MATCH('Prior YTD Data Table'!$C4,'Prior YTD Data Pull'!$A$2:$A$605,0),MATCH("Long Term Debt Net of Current Portion",'Prior YTD Data Pull'!$A$1:$CB$1,0)),"")</f>
        <v>476994000</v>
      </c>
      <c r="AT4" s="38">
        <f>IFERROR(INDEX('Prior YTD Data Pull'!$A$2:$CB$605,MATCH('Prior YTD Data Table'!$C4,'Prior YTD Data Pull'!$A$2:$A$605,0),MATCH("Net Unrestricted Assets",'Prior YTD Data Pull'!$A$1:$CB$1,0)),"")</f>
        <v>943581000</v>
      </c>
      <c r="AU4" s="38">
        <f>IFERROR(INDEX('Prior YTD Data Pull'!$A$2:$CB$605,MATCH('Prior YTD Data Table'!$C4,'Prior YTD Data Pull'!$A$2:$A$605,0),MATCH("Unrealized Gains/Losses",'Prior YTD Data Pull'!$A$1:$CB$1,0)),"")</f>
        <v>2124000</v>
      </c>
      <c r="AV4" s="38">
        <f>IFERROR(INDEX('Prior YTD Data Pull'!$A$2:$CB$605,MATCH('Prior YTD Data Table'!$C4,'Prior YTD Data Pull'!$A$2:$A$605,0),MATCH("Salary and Benefit Expense",'Prior YTD Data Pull'!$A$1:$CB$1,0)),"")</f>
        <v>361030000</v>
      </c>
      <c r="AW4" s="38"/>
      <c r="AX4" s="38"/>
      <c r="AY4" s="38"/>
      <c r="AZ4" s="38"/>
    </row>
    <row r="5" spans="1:83" ht="34.200000000000003" x14ac:dyDescent="0.3">
      <c r="A5" s="14" t="str">
        <f>IFERROR(INDEX('Static Data Tab'!$N$2:$N$610,MATCH(D5,'Static Data Tab'!$D$2:$D$610,0)), "")</f>
        <v>South Coast Health System</v>
      </c>
      <c r="B5" s="14" t="s">
        <v>171</v>
      </c>
      <c r="C5" s="14">
        <v>3113</v>
      </c>
      <c r="D5" s="14">
        <v>4027</v>
      </c>
      <c r="E5" s="14" t="str">
        <f>IFERROR(INDEX('Prior YTD Data Pull'!$A$1:$CB$605,MATCH('Prior YTD Data Table'!$C5,'Prior YTD Data Pull'!$A$1:$A$605,0),MATCH("Organization Type",'Prior YTD Data Pull'!$A$1:$CB$1,0)),"")</f>
        <v>AcuteHospital</v>
      </c>
      <c r="F5" s="14" t="str">
        <f>IFERROR(INDEX('Static Data Tab'!$E$2:$E$610,MATCH('Prior YTD Data Table'!$C5,'Static Data Tab'!$B$2:$B$610,0)), "-")</f>
        <v>Community-High Public Payer Hospital</v>
      </c>
      <c r="G5" s="46" t="str">
        <f>IFERROR(INDEX('Static Data Tab'!$J$2:$J$610,MATCH('Prior YTD Data Table'!$C5,'Static Data Tab'!$B$2:$B$610,0)), "")</f>
        <v>South Coast</v>
      </c>
      <c r="H5" s="14" t="str">
        <f>IFERROR(INDEX('Static Data Tab'!$F$2:$F$610,MATCH('Prior YTD Data Table'!$C5,'Static Data Tab'!$B$2:$B$610,0)), "")</f>
        <v>x</v>
      </c>
      <c r="I5" s="14">
        <f>IFERROR(INDEX('Static Data Tab'!$G$2:$G$610,MATCH('Prior YTD Data Table'!$C5,'Static Data Tab'!$B$2:$B$610,0)), "")</f>
        <v>0</v>
      </c>
      <c r="J5" s="14" t="str">
        <f>IFERROR(INDEX('Prior YTD Data Pull'!$A$2:$CB$605,MATCH('Prior YTD Data Table'!$C5,'Prior YTD Data Pull'!$A$2:$A$605,0),MATCH("Quarter Range",'Prior YTD Data Pull'!$A$1:$CB$1,0)),"")</f>
        <v xml:space="preserve">10/01/2024-03/31/2025
</v>
      </c>
      <c r="K5" s="37">
        <f t="shared" si="2"/>
        <v>4.4801650152364682E-2</v>
      </c>
      <c r="L5" s="37">
        <f t="shared" si="3"/>
        <v>-7.988000374860169E-4</v>
      </c>
      <c r="M5" s="37">
        <f t="shared" si="4"/>
        <v>4.4002850114878596E-2</v>
      </c>
      <c r="N5" s="38">
        <f t="shared" si="5"/>
        <v>28911501.720000029</v>
      </c>
      <c r="O5" s="39">
        <f t="shared" si="6"/>
        <v>1.5313233838015055</v>
      </c>
      <c r="P5" s="38">
        <f>IFERROR(INDEX('Prior YTD Data Pull'!$A$2:$CB$605,MATCH('Prior YTD Data Table'!$C5,'Prior YTD Data Pull'!$A$2:$A$605,0),MATCH("Total Net Assets or Equity",'Prior YTD Data Pull'!$A$1:$CB$1,0)),"")</f>
        <v>678867871.26999998</v>
      </c>
      <c r="Q5" s="38">
        <f>IFERROR(INDEX('Prior YTD Data Pull'!$A$2:$CB$605,MATCH('Prior YTD Data Table'!$C5,'Prior YTD Data Pull'!$A$2:$A$605,0),MATCH("Total Operating Revenue",'Prior YTD Data Pull'!$A$1:$CB$1,0)),"")</f>
        <v>657561865.95000005</v>
      </c>
      <c r="R5" s="38">
        <f>IFERROR(INDEX('Prior YTD Data Pull'!$A$2:$CB$605,MATCH('Prior YTD Data Table'!$C5,'Prior YTD Data Pull'!$A$2:$A$605,0),MATCH("Total Unrestricted Revenue Gains and Other Support",'Prior YTD Data Pull'!$A$1:$CB$1,0)),"")</f>
        <v>657037024.75</v>
      </c>
      <c r="S5" s="38">
        <f>IFERROR(INDEX('Prior YTD TS Data Pull'!$J$2:$J$128,MATCH('Prior YTD Data Table'!$C5, 'Prior YTD TS Data Pull'!$A$2:$A$128,0))+INDEX('Prior YTD TS Data Pull'!$N$2:$N$128,MATCH('Prior YTD Data Table'!$C5,'Prior YTD TS Data Pull'!$A$2:$A$609,0))+INDEX('Prior YTD TS Data Pull'!$R$2:$R$128,MATCH('Prior YTD Data Table'!$C5,'Prior YTD TS Data Pull'!$A$2:$A$609,0)),"")</f>
        <v>4804587.413402589</v>
      </c>
      <c r="T5" s="38">
        <f>IF(INDEX('Prior YTD TS Data Pull'!$A$1:$O$609,MATCH('Prior YTD Data Table'!$C5,'Prior YTD TS Data Pull'!$A$1:$A$609,0),MATCH("Temporary RN Staffing:
Line Reported on in Standardized Financials",'Prior YTD TS Data Pull'!$A$1:$O$1,0))="66.1: Salary and Benefit Expense",'Prior YTD Data Table'!$AV5-'Prior YTD Data Table'!$S5,0)</f>
        <v>289257197.80659741</v>
      </c>
      <c r="U5" s="38">
        <f>IFERROR(INDEX('Prior YTD Data Pull'!$A$2:$CB$605,MATCH('Prior YTD Data Table'!$C5,'Prior YTD Data Pull'!$A$2:$A$605,0),MATCH("Total Expenses Including Nonrecurring Gains Losses",'Prior YTD Data Pull'!$A$1:$CB$1,0)),"")</f>
        <v>628125523.02999997</v>
      </c>
      <c r="V5" s="41">
        <f t="shared" si="7"/>
        <v>0</v>
      </c>
      <c r="W5" s="41">
        <f t="shared" si="8"/>
        <v>40.473272011941667</v>
      </c>
      <c r="X5" s="41">
        <f t="shared" si="0"/>
        <v>49.458214744909696</v>
      </c>
      <c r="Y5" s="37">
        <f t="shared" si="9"/>
        <v>0.31539871030399713</v>
      </c>
      <c r="Z5" s="41">
        <f t="shared" si="1"/>
        <v>5.4587960145145971</v>
      </c>
      <c r="AA5" s="39">
        <f t="shared" si="10"/>
        <v>0.34151709436987149</v>
      </c>
      <c r="AB5" s="37">
        <f t="shared" si="11"/>
        <v>0.59997798205497921</v>
      </c>
      <c r="AC5" s="37">
        <f t="shared" si="12"/>
        <v>0.26404816179808005</v>
      </c>
      <c r="AD5" s="38">
        <f>IFERROR(INDEX('Prior YTD Data Pull'!$A$2:$CB$605,MATCH('Prior YTD Data Table'!$C5,'Prior YTD Data Pull'!$A$2:$A$605,0),MATCH("Net Patient Service Revenue",'Prior YTD Data Pull'!$A$1:$CB$1,0)),"")</f>
        <v>562547920</v>
      </c>
      <c r="AE5" s="38">
        <f>IFERROR(INDEX('Prior YTD Data Pull'!$A$2:$CB$605,MATCH('Prior YTD Data Table'!$C5,'Prior YTD Data Pull'!$A$2:$A$605,0),MATCH("Total Current Assets",'Prior YTD Data Pull'!$A$1:$CB$1,0)),"")</f>
        <v>257138192.11300001</v>
      </c>
      <c r="AF5" s="38">
        <f>IFERROR(INDEX('Prior YTD Data Pull'!$A$2:$CB$605,MATCH('Prior YTD Data Table'!$C5,'Prior YTD Data Pull'!$A$2:$A$605,0),MATCH("Total Current Liabilities",'Prior YTD Data Pull'!$A$1:$CB$1,0)),"")</f>
        <v>167918935.23800001</v>
      </c>
      <c r="AG5" s="38">
        <f>IFERROR(INDEX('Prior YTD Data Pull'!$A$2:$CB$605,MATCH('Prior YTD Data Table'!$C5,'Prior YTD Data Pull'!$A$2:$A$605,0),MATCH("Total Non Operating Revenue",'Prior YTD Data Pull'!$A$1:$CB$1,0)),"")</f>
        <v>-524841.200000001</v>
      </c>
      <c r="AH5" s="38">
        <f>IFERROR(INDEX('Prior YTD Data Pull'!$A$2:$CB$605,MATCH('Prior YTD Data Table'!$C5,'Prior Year Data Pull'!$A$2:$A$593,0),MATCH("Less Accumulated Depreciation",'Prior YTD Data Pull'!$A$1:$CB$1,0)),"")</f>
        <v>0</v>
      </c>
      <c r="AI5" s="38">
        <f>IFERROR(INDEX('Prior YTD Data Pull'!$A$2:$CB$605,MATCH('Prior YTD Data Table'!$C5,'Prior YTD Data Pull'!$A$2:$A$605,0),MATCH("Depreciation and Amortization Expense",'Prior YTD Data Pull'!$A$1:$CB$1,0)),"")</f>
        <v>26874688.550000001</v>
      </c>
      <c r="AJ5" s="38">
        <f>IFERROR(INDEX('Prior YTD Data Pull'!$A$2:$CB$605,MATCH('Prior YTD Data Table'!$C5,'Prior YTD Data Pull'!$A$2:$A$605,0),MATCH("Net Patient Accounts Receivable",'Prior YTD Data Pull'!$A$1:$CB$1,0)),"")</f>
        <v>124416147.464</v>
      </c>
      <c r="AK5" s="14" t="str">
        <f>IF('Prior YTD Data Pull'!$H5 = 6, "183", IF('Prior YTD Data Pull'!$H5 = 3, "93",""))</f>
        <v>183</v>
      </c>
      <c r="AL5" s="38">
        <f>IFERROR(INDEX('Prior YTD Data Pull'!$A$2:$CB$605,MATCH('Prior YTD Data Table'!$C5,'Prior YTD Data Pull'!$A$2:$A$605,0),MATCH("Estimated Third Party Settlements",'Prior YTD Data Pull'!$A$1:$CB$1,0)),"")</f>
        <v>5422799.2419999996</v>
      </c>
      <c r="AM5" s="38">
        <f>IFERROR(INDEX('Prior YTD Data Pull'!$A$2:$CB$605,MATCH('Prior YTD Data Table'!$C5,'Prior YTD Data Pull'!$A$2:$A$605,0),MATCH("Current Liabilities due to Affiliates",'Prior YTD Data Pull'!$A$1:$CB$1,0)),"")</f>
        <v>10046609.575999999</v>
      </c>
      <c r="AN5" s="38">
        <f>IFERROR(INDEX('Prior YTD Data Pull'!$A$2:$CB$605,MATCH('Prior YTD Data Table'!$C5,'Prior YTD Data Pull'!$A$2:$A$605,0),MATCH("Short Term Investments",'Prior YTD Data Pull'!$A$1:$CB$1,0)),"")</f>
        <v>2095826.27</v>
      </c>
      <c r="AO5" s="38">
        <f>IFERROR(INDEX('Prior YTD Data Pull'!$A$2:$CB$605,MATCH('Prior YTD Data Table'!$C5,'Prior YTD Data Pull'!$A$2:$A$605,0),MATCH("Cash and Cash Equivalents",'Prior YTD Data Pull'!$A$1:$CB$1,0)),"")</f>
        <v>15839177.331</v>
      </c>
      <c r="AP5" s="38">
        <f>IFERROR(INDEX('Prior YTD Data Pull'!$A$2:$CB$605,MATCH('Prior YTD Data Table'!$C5,'Prior YTD Data Pull'!$A$2:$A$605,0),MATCH("Interest Expense",'Prior YTD Data Pull'!$A$1:$CB$1,0)),"")</f>
        <v>3509402.15</v>
      </c>
      <c r="AQ5" s="38">
        <f>IFERROR(INDEX('Prior YTD Data Pull'!$A$2:$CB$605,MATCH('Prior YTD Data Table'!$C5,'Prior YTD Data Pull'!$A$2:$A$605,0),MATCH("Long Term Debt Net of Current Portion",'Prior YTD Data Pull'!$A$1:$CB$1,0)),"")</f>
        <v>209797398.41999999</v>
      </c>
      <c r="AR5" s="38">
        <f>IFERROR(INDEX('Prior YTD Data Pull'!$A$2:$CB$605,MATCH('Prior YTD Data Table'!$C5,'Prior YTD Data Pull'!$A$2:$A$605,0),MATCH("Total Assets",'Prior YTD Data Pull'!$A$1:$CB$1,0)),"")</f>
        <v>1131487973.8499999</v>
      </c>
      <c r="AS5" s="38">
        <f>IFERROR(INDEX('Prior YTD Data Pull'!$A$2:$CB$605,MATCH('Prior YTD Data Table'!$C5,'Prior YTD Data Pull'!$A$2:$A$605,0),MATCH("Long Term Debt Net of Current Portion",'Prior YTD Data Pull'!$A$1:$CB$1,0)),"")</f>
        <v>209797398.41999999</v>
      </c>
      <c r="AT5" s="38">
        <f>IFERROR(INDEX('Prior YTD Data Pull'!$A$2:$CB$605,MATCH('Prior YTD Data Table'!$C5,'Prior YTD Data Pull'!$A$2:$A$605,0),MATCH("Net Unrestricted Assets",'Prior YTD Data Pull'!$A$1:$CB$1,0)),"")</f>
        <v>584744767.64300001</v>
      </c>
      <c r="AU5" s="38">
        <f>IFERROR(INDEX('Prior YTD Data Pull'!$A$2:$CB$605,MATCH('Prior YTD Data Table'!$C5,'Prior YTD Data Pull'!$A$2:$A$605,0),MATCH("Unrealized Gains/Losses",'Prior YTD Data Pull'!$A$1:$CB$1,0)),"")</f>
        <v>-13552326.32</v>
      </c>
      <c r="AV5" s="38">
        <f>IFERROR(INDEX('Prior YTD Data Pull'!$A$2:$CB$605,MATCH('Prior YTD Data Table'!$C5,'Prior YTD Data Pull'!$A$2:$A$605,0),MATCH("Salary and Benefit Expense",'Prior YTD Data Pull'!$A$1:$CB$1,0)),"")</f>
        <v>294061785.22000003</v>
      </c>
      <c r="AW5" s="47"/>
      <c r="AX5" s="47"/>
      <c r="AY5" s="47"/>
      <c r="AZ5" s="47"/>
    </row>
    <row r="6" spans="1:83" ht="34.200000000000003" x14ac:dyDescent="0.3">
      <c r="A6" s="14" t="str">
        <f>IFERROR(INDEX('Static Data Tab'!$N$2:$N$610,MATCH(D6,'Static Data Tab'!$D$2:$D$610,0)), "")</f>
        <v>Emerson Health System Inc. and Subsid.</v>
      </c>
      <c r="B6" s="57" t="s">
        <v>132</v>
      </c>
      <c r="C6" s="57">
        <v>57</v>
      </c>
      <c r="D6" s="57">
        <v>12776</v>
      </c>
      <c r="E6" s="14" t="str">
        <f>IFERROR(INDEX('Prior YTD Data Pull'!$A$1:$CB$605,MATCH('Prior YTD Data Table'!$C6,'Prior YTD Data Pull'!$A$1:$A$605,0),MATCH("Organization Type",'Prior YTD Data Pull'!$A$1:$CB$1,0)),"")</f>
        <v>AcuteHospital</v>
      </c>
      <c r="F6" s="14" t="str">
        <f>IFERROR(INDEX('Static Data Tab'!$E$2:$E$610,MATCH('Prior YTD Data Table'!$C6,'Static Data Tab'!$B$2:$B$610,0)), "-")</f>
        <v>Community Hospital</v>
      </c>
      <c r="G6" s="46" t="str">
        <f>IFERROR(INDEX('Static Data Tab'!$J$2:$J$610,MATCH('Prior YTD Data Table'!$C6,'Static Data Tab'!$B$2:$B$610,0)), "")</f>
        <v>Northeastern Massachusetts</v>
      </c>
      <c r="H6" s="14">
        <f>IFERROR(INDEX('Static Data Tab'!$F$2:$F$610,MATCH('Prior YTD Data Table'!$C6,'Static Data Tab'!$B$2:$B$610,0)), "")</f>
        <v>0</v>
      </c>
      <c r="I6" s="14">
        <f>IFERROR(INDEX('Static Data Tab'!$G$2:$G$610,MATCH('Prior YTD Data Table'!$C6,'Static Data Tab'!$B$2:$B$610,0)), "")</f>
        <v>0</v>
      </c>
      <c r="J6" s="14" t="str">
        <f>IFERROR(INDEX('Prior YTD Data Pull'!$A$2:$CB$605,MATCH('Prior YTD Data Table'!$C6,'Prior YTD Data Pull'!$A$2:$A$605,0),MATCH("Quarter Range",'Prior YTD Data Pull'!$A$1:$CB$1,0)),"")</f>
        <v xml:space="preserve">10/01/2024-03/31/2025
</v>
      </c>
      <c r="K6" s="37">
        <f t="shared" si="2"/>
        <v>-6.8046398069676068E-3</v>
      </c>
      <c r="L6" s="37">
        <f t="shared" si="3"/>
        <v>6.3393098540776875E-3</v>
      </c>
      <c r="M6" s="37">
        <f t="shared" si="4"/>
        <v>-4.6532995288991932E-4</v>
      </c>
      <c r="N6" s="38">
        <f t="shared" si="5"/>
        <v>-92262</v>
      </c>
      <c r="O6" s="39">
        <f t="shared" si="6"/>
        <v>1.5691382469387587</v>
      </c>
      <c r="P6" s="38">
        <f>IFERROR(INDEX('Prior YTD Data Pull'!$A$2:$CB$605,MATCH('Prior YTD Data Table'!$C6,'Prior YTD Data Pull'!$A$2:$A$605,0),MATCH("Total Net Assets or Equity",'Prior YTD Data Pull'!$A$1:$CB$1,0)),"")</f>
        <v>114516968</v>
      </c>
      <c r="Q6" s="38">
        <f>IFERROR(INDEX('Prior YTD Data Pull'!$A$2:$CB$605,MATCH('Prior YTD Data Table'!$C6,'Prior YTD Data Pull'!$A$2:$A$605,0),MATCH("Total Operating Revenue",'Prior YTD Data Pull'!$A$1:$CB$1,0)),"")</f>
        <v>197015305</v>
      </c>
      <c r="R6" s="38">
        <f>IFERROR(INDEX('Prior YTD Data Pull'!$A$2:$CB$605,MATCH('Prior YTD Data Table'!$C6,'Prior YTD Data Pull'!$A$2:$A$605,0),MATCH("Total Unrestricted Revenue Gains and Other Support",'Prior YTD Data Pull'!$A$1:$CB$1,0)),"")</f>
        <v>198272214</v>
      </c>
      <c r="S6" s="38">
        <f>IFERROR(INDEX('Prior YTD TS Data Pull'!$J$2:$J$128,MATCH('Prior YTD Data Table'!$C6, 'Prior YTD TS Data Pull'!$A$2:$A$128,0))+INDEX('Prior YTD TS Data Pull'!$N$2:$N$128,MATCH('Prior YTD Data Table'!$C6,'Prior YTD TS Data Pull'!$A$2:$A$609,0))+INDEX('Prior YTD TS Data Pull'!$R$2:$R$128,MATCH('Prior YTD Data Table'!$C6,'Prior YTD TS Data Pull'!$A$2:$A$609,0)),"")</f>
        <v>2038965</v>
      </c>
      <c r="T6" s="38">
        <f>IF(INDEX('Prior YTD TS Data Pull'!$A$1:$O$609,MATCH('Prior YTD Data Table'!$C6,'Prior YTD TS Data Pull'!$A$1:$A$609,0),MATCH("Temporary RN Staffing:
Line Reported on in Standardized Financials",'Prior YTD TS Data Pull'!$A$1:$O$1,0))="66.1: Salary and Benefit Expense",'Prior YTD Data Table'!$AV6-'Prior YTD Data Table'!$S6,0)</f>
        <v>105821228</v>
      </c>
      <c r="U6" s="38">
        <f>IFERROR(INDEX('Prior YTD Data Pull'!$A$2:$CB$605,MATCH('Prior YTD Data Table'!$C6,'Prior YTD Data Pull'!$A$2:$A$605,0),MATCH("Total Expenses Including Nonrecurring Gains Losses",'Prior YTD Data Pull'!$A$1:$CB$1,0)),"")</f>
        <v>198364476</v>
      </c>
      <c r="V6" s="41">
        <f t="shared" si="7"/>
        <v>108.13575367970232</v>
      </c>
      <c r="W6" s="41">
        <f t="shared" si="8"/>
        <v>38.41873857681739</v>
      </c>
      <c r="X6" s="41">
        <f t="shared" si="0"/>
        <v>60.588672558874109</v>
      </c>
      <c r="Y6" s="37">
        <f t="shared" si="9"/>
        <v>0.10542099081012002</v>
      </c>
      <c r="Z6" s="41">
        <f t="shared" si="1"/>
        <v>7.3217524580739255</v>
      </c>
      <c r="AA6" s="39">
        <f t="shared" si="10"/>
        <v>0.12303433033487497</v>
      </c>
      <c r="AB6" s="37">
        <f t="shared" si="11"/>
        <v>0.38629386729329696</v>
      </c>
      <c r="AC6" s="37">
        <f t="shared" si="12"/>
        <v>0.37687892898696618</v>
      </c>
      <c r="AD6" s="38">
        <f>IFERROR(INDEX('Prior YTD Data Pull'!$A$2:$CB$605,MATCH('Prior YTD Data Table'!$C6,'Prior YTD Data Pull'!$A$2:$A$605,0),MATCH("Net Patient Service Revenue",'Prior YTD Data Pull'!$A$1:$CB$1,0)),"")</f>
        <v>187905711</v>
      </c>
      <c r="AE6" s="38">
        <f>IFERROR(INDEX('Prior YTD Data Pull'!$A$2:$CB$605,MATCH('Prior YTD Data Table'!$C6,'Prior YTD Data Pull'!$A$2:$A$605,0),MATCH("Total Current Assets",'Prior YTD Data Pull'!$A$1:$CB$1,0)),"")</f>
        <v>100025193</v>
      </c>
      <c r="AF6" s="38">
        <f>IFERROR(INDEX('Prior YTD Data Pull'!$A$2:$CB$605,MATCH('Prior YTD Data Table'!$C6,'Prior YTD Data Pull'!$A$2:$A$605,0),MATCH("Total Current Liabilities",'Prior YTD Data Pull'!$A$1:$CB$1,0)),"")</f>
        <v>63745303</v>
      </c>
      <c r="AG6" s="38">
        <f>IFERROR(INDEX('Prior YTD Data Pull'!$A$2:$CB$605,MATCH('Prior YTD Data Table'!$C6,'Prior YTD Data Pull'!$A$2:$A$605,0),MATCH("Total Non Operating Revenue",'Prior YTD Data Pull'!$A$1:$CB$1,0)),"")</f>
        <v>1256909</v>
      </c>
      <c r="AH6" s="38">
        <f>IFERROR(INDEX('Prior YTD Data Pull'!$A$2:$CB$605,MATCH('Prior YTD Data Table'!$C6,'Prior Year Data Pull'!$A$2:$A$593,0),MATCH("Less Accumulated Depreciation",'Prior YTD Data Pull'!$A$1:$CB$1,0)),"")</f>
        <v>630463344</v>
      </c>
      <c r="AI6" s="38">
        <f>IFERROR(INDEX('Prior YTD Data Pull'!$A$2:$CB$605,MATCH('Prior YTD Data Table'!$C6,'Prior YTD Data Pull'!$A$2:$A$605,0),MATCH("Depreciation and Amortization Expense",'Prior YTD Data Pull'!$A$1:$CB$1,0)),"")</f>
        <v>5830295</v>
      </c>
      <c r="AJ6" s="38">
        <f>IFERROR(INDEX('Prior YTD Data Pull'!$A$2:$CB$605,MATCH('Prior YTD Data Table'!$C6,'Prior YTD Data Pull'!$A$2:$A$605,0),MATCH("Net Patient Accounts Receivable",'Prior YTD Data Pull'!$A$1:$CB$1,0)),"")</f>
        <v>39448636</v>
      </c>
      <c r="AK6" s="14" t="str">
        <f>IF('Prior YTD Data Pull'!$H6 = 6, "183", IF('Prior YTD Data Pull'!$H6 = 3, "93",""))</f>
        <v>183</v>
      </c>
      <c r="AL6" s="38">
        <f>IFERROR(INDEX('Prior YTD Data Pull'!$A$2:$CB$605,MATCH('Prior YTD Data Table'!$C6,'Prior YTD Data Pull'!$A$2:$A$605,0),MATCH("Estimated Third Party Settlements",'Prior YTD Data Pull'!$A$1:$CB$1,0)),"")</f>
        <v>0</v>
      </c>
      <c r="AM6" s="38">
        <f>IFERROR(INDEX('Prior YTD Data Pull'!$A$2:$CB$605,MATCH('Prior YTD Data Table'!$C6,'Prior YTD Data Pull'!$A$2:$A$605,0),MATCH("Current Liabilities due to Affiliates",'Prior YTD Data Pull'!$A$1:$CB$1,0)),"")</f>
        <v>0</v>
      </c>
      <c r="AN6" s="38">
        <f>IFERROR(INDEX('Prior YTD Data Pull'!$A$2:$CB$605,MATCH('Prior YTD Data Table'!$C6,'Prior YTD Data Pull'!$A$2:$A$605,0),MATCH("Short Term Investments",'Prior YTD Data Pull'!$A$1:$CB$1,0)),"")</f>
        <v>0</v>
      </c>
      <c r="AO6" s="38">
        <f>IFERROR(INDEX('Prior YTD Data Pull'!$A$2:$CB$605,MATCH('Prior YTD Data Table'!$C6,'Prior YTD Data Pull'!$A$2:$A$605,0),MATCH("Cash and Cash Equivalents",'Prior YTD Data Pull'!$A$1:$CB$1,0)),"")</f>
        <v>7703211</v>
      </c>
      <c r="AP6" s="38">
        <f>IFERROR(INDEX('Prior YTD Data Pull'!$A$2:$CB$605,MATCH('Prior YTD Data Table'!$C6,'Prior YTD Data Pull'!$A$2:$A$605,0),MATCH("Interest Expense",'Prior YTD Data Pull'!$A$1:$CB$1,0)),"")</f>
        <v>1158206</v>
      </c>
      <c r="AQ6" s="38">
        <f>IFERROR(INDEX('Prior YTD Data Pull'!$A$2:$CB$605,MATCH('Prior YTD Data Table'!$C6,'Prior YTD Data Pull'!$A$2:$A$605,0),MATCH("Long Term Debt Net of Current Portion",'Prior YTD Data Pull'!$A$1:$CB$1,0)),"")</f>
        <v>57666912</v>
      </c>
      <c r="AR6" s="38">
        <f>IFERROR(INDEX('Prior YTD Data Pull'!$A$2:$CB$605,MATCH('Prior YTD Data Table'!$C6,'Prior YTD Data Pull'!$A$2:$A$605,0),MATCH("Total Assets",'Prior YTD Data Pull'!$A$1:$CB$1,0)),"")</f>
        <v>296450391</v>
      </c>
      <c r="AS6" s="38">
        <f>IFERROR(INDEX('Prior YTD Data Pull'!$A$2:$CB$605,MATCH('Prior YTD Data Table'!$C6,'Prior YTD Data Pull'!$A$2:$A$605,0),MATCH("Long Term Debt Net of Current Portion",'Prior YTD Data Pull'!$A$1:$CB$1,0)),"")</f>
        <v>57666912</v>
      </c>
      <c r="AT6" s="38">
        <f>IFERROR(INDEX('Prior YTD Data Pull'!$A$2:$CB$605,MATCH('Prior YTD Data Table'!$C6,'Prior YTD Data Pull'!$A$2:$A$605,0),MATCH("Net Unrestricted Assets",'Prior YTD Data Pull'!$A$1:$CB$1,0)),"")</f>
        <v>95344858</v>
      </c>
      <c r="AU6" s="38">
        <f>IFERROR(INDEX('Prior YTD Data Pull'!$A$2:$CB$605,MATCH('Prior YTD Data Table'!$C6,'Prior YTD Data Pull'!$A$2:$A$605,0),MATCH("Unrealized Gains/Losses",'Prior YTD Data Pull'!$A$1:$CB$1,0)),"")</f>
        <v>-341270</v>
      </c>
      <c r="AV6" s="38">
        <f>IFERROR(INDEX('Prior YTD Data Pull'!$A$2:$CB$605,MATCH('Prior YTD Data Table'!$C6,'Prior YTD Data Pull'!$A$2:$A$605,0),MATCH("Salary and Benefit Expense",'Prior YTD Data Pull'!$A$1:$CB$1,0)),"")</f>
        <v>107860193</v>
      </c>
      <c r="AW6" s="38"/>
      <c r="AX6" s="38"/>
      <c r="AY6" s="38"/>
      <c r="AZ6" s="38"/>
    </row>
    <row r="7" spans="1:83" ht="34.200000000000003" x14ac:dyDescent="0.3">
      <c r="A7" s="14" t="str">
        <f>IFERROR(INDEX('Static Data Tab'!$N$2:$N$610,MATCH(D7,'Static Data Tab'!$D$2:$D$610,0)), "")</f>
        <v>South Shore Health System</v>
      </c>
      <c r="B7" s="14" t="s">
        <v>168</v>
      </c>
      <c r="C7" s="14">
        <v>122</v>
      </c>
      <c r="D7" s="14">
        <v>12759</v>
      </c>
      <c r="E7" s="14" t="str">
        <f>IFERROR(INDEX('Prior YTD Data Pull'!$A$1:$CB$605,MATCH('Prior YTD Data Table'!$C7,'Prior YTD Data Pull'!$A$1:$A$605,0),MATCH("Organization Type",'Prior YTD Data Pull'!$A$1:$CB$1,0)),"")</f>
        <v>AcuteHospital</v>
      </c>
      <c r="F7" s="14" t="str">
        <f>IFERROR(INDEX('Static Data Tab'!$E$2:$E$610,MATCH('Prior YTD Data Table'!$C7,'Static Data Tab'!$B$2:$B$610,0)), "-")</f>
        <v>Community-High Public Payer Hospital</v>
      </c>
      <c r="G7" s="46" t="str">
        <f>IFERROR(INDEX('Static Data Tab'!$J$2:$J$610,MATCH('Prior YTD Data Table'!$C7,'Static Data Tab'!$B$2:$B$610,0)), "")</f>
        <v>Metro South</v>
      </c>
      <c r="H7" s="14" t="str">
        <f>IFERROR(INDEX('Static Data Tab'!$F$2:$F$610,MATCH('Prior YTD Data Table'!$C7,'Static Data Tab'!$B$2:$B$610,0)), "")</f>
        <v>x</v>
      </c>
      <c r="I7" s="14">
        <f>IFERROR(INDEX('Static Data Tab'!$G$2:$G$610,MATCH('Prior YTD Data Table'!$C7,'Static Data Tab'!$B$2:$B$610,0)), "")</f>
        <v>0</v>
      </c>
      <c r="J7" s="14" t="str">
        <f>IFERROR(INDEX('Prior YTD Data Pull'!$A$2:$CB$605,MATCH('Prior YTD Data Table'!$C7,'Prior YTD Data Pull'!$A$2:$A$605,0),MATCH("Quarter Range",'Prior YTD Data Pull'!$A$1:$CB$1,0)),"")</f>
        <v xml:space="preserve">10/01/2024-03/31/2025
</v>
      </c>
      <c r="K7" s="37">
        <f t="shared" si="2"/>
        <v>-3.9126617500461536E-2</v>
      </c>
      <c r="L7" s="37">
        <f t="shared" si="3"/>
        <v>-8.7118672888887288E-3</v>
      </c>
      <c r="M7" s="37">
        <f t="shared" si="4"/>
        <v>-4.7838484789350266E-2</v>
      </c>
      <c r="N7" s="38">
        <f t="shared" si="5"/>
        <v>-20664201</v>
      </c>
      <c r="O7" s="39">
        <f t="shared" si="6"/>
        <v>1.4240153827797355</v>
      </c>
      <c r="P7" s="38">
        <f>IFERROR(INDEX('Prior YTD Data Pull'!$A$2:$CB$605,MATCH('Prior YTD Data Table'!$C7,'Prior YTD Data Pull'!$A$2:$A$605,0),MATCH("Total Net Assets or Equity",'Prior YTD Data Pull'!$A$1:$CB$1,0)),"")</f>
        <v>355656372</v>
      </c>
      <c r="Q7" s="38">
        <f>IFERROR(INDEX('Prior YTD Data Pull'!$A$2:$CB$605,MATCH('Prior YTD Data Table'!$C7,'Prior YTD Data Pull'!$A$2:$A$605,0),MATCH("Total Operating Revenue",'Prior YTD Data Pull'!$A$1:$CB$1,0)),"")</f>
        <v>435720840</v>
      </c>
      <c r="R7" s="38">
        <f>IFERROR(INDEX('Prior YTD Data Pull'!$A$2:$CB$605,MATCH('Prior YTD Data Table'!$C7,'Prior YTD Data Pull'!$A$2:$A$605,0),MATCH("Total Unrestricted Revenue Gains and Other Support",'Prior YTD Data Pull'!$A$1:$CB$1,0)),"")</f>
        <v>431957682</v>
      </c>
      <c r="S7" s="38">
        <f>IFERROR(INDEX('Prior YTD TS Data Pull'!$J$2:$J$128,MATCH('Prior YTD Data Table'!$C7, 'Prior YTD TS Data Pull'!$A$2:$A$128,0))+INDEX('Prior YTD TS Data Pull'!$N$2:$N$128,MATCH('Prior YTD Data Table'!$C7,'Prior YTD TS Data Pull'!$A$2:$A$609,0))+INDEX('Prior YTD TS Data Pull'!$R$2:$R$128,MATCH('Prior YTD Data Table'!$C7,'Prior YTD TS Data Pull'!$A$2:$A$609,0)),"")</f>
        <v>9328852.3599999994</v>
      </c>
      <c r="T7" s="38">
        <f>IF(INDEX('Prior YTD TS Data Pull'!$A$1:$O$609,MATCH('Prior YTD Data Table'!$C7,'Prior YTD TS Data Pull'!$A$1:$A$609,0),MATCH("Temporary RN Staffing:
Line Reported on in Standardized Financials",'Prior YTD TS Data Pull'!$A$1:$O$1,0))="66.1: Salary and Benefit Expense",'Prior YTD Data Table'!$AV7-'Prior YTD Data Table'!$S7,0)</f>
        <v>0</v>
      </c>
      <c r="U7" s="38">
        <f>IFERROR(INDEX('Prior YTD Data Pull'!$A$2:$CB$605,MATCH('Prior YTD Data Table'!$C7,'Prior YTD Data Pull'!$A$2:$A$605,0),MATCH("Total Expenses Including Nonrecurring Gains Losses",'Prior YTD Data Pull'!$A$1:$CB$1,0)),"")</f>
        <v>452621883</v>
      </c>
      <c r="V7" s="41">
        <f t="shared" si="7"/>
        <v>0</v>
      </c>
      <c r="W7" s="41">
        <f t="shared" si="8"/>
        <v>50.66933951501548</v>
      </c>
      <c r="X7" s="41">
        <f t="shared" si="0"/>
        <v>51.537628444467884</v>
      </c>
      <c r="Y7" s="37">
        <f t="shared" si="9"/>
        <v>3.1895256497978801E-2</v>
      </c>
      <c r="Z7" s="41">
        <f t="shared" si="1"/>
        <v>10.468582882175987</v>
      </c>
      <c r="AA7" s="39">
        <f t="shared" si="10"/>
        <v>5.2420077685832463E-2</v>
      </c>
      <c r="AB7" s="37">
        <f t="shared" si="11"/>
        <v>0.52313364373501181</v>
      </c>
      <c r="AC7" s="37">
        <f t="shared" si="12"/>
        <v>0.32987178036597076</v>
      </c>
      <c r="AD7" s="38">
        <f>IFERROR(INDEX('Prior YTD Data Pull'!$A$2:$CB$605,MATCH('Prior YTD Data Table'!$C7,'Prior YTD Data Pull'!$A$2:$A$605,0),MATCH("Net Patient Service Revenue",'Prior YTD Data Pull'!$A$1:$CB$1,0)),"")</f>
        <v>407964036</v>
      </c>
      <c r="AE7" s="38">
        <f>IFERROR(INDEX('Prior YTD Data Pull'!$A$2:$CB$605,MATCH('Prior YTD Data Table'!$C7,'Prior YTD Data Pull'!$A$2:$A$605,0),MATCH("Total Current Assets",'Prior YTD Data Pull'!$A$1:$CB$1,0)),"")</f>
        <v>175464017</v>
      </c>
      <c r="AF7" s="38">
        <f>IFERROR(INDEX('Prior YTD Data Pull'!$A$2:$CB$605,MATCH('Prior YTD Data Table'!$C7,'Prior YTD Data Pull'!$A$2:$A$605,0),MATCH("Total Current Liabilities",'Prior YTD Data Pull'!$A$1:$CB$1,0)),"")</f>
        <v>123217782</v>
      </c>
      <c r="AG7" s="38">
        <f>IFERROR(INDEX('Prior YTD Data Pull'!$A$2:$CB$605,MATCH('Prior YTD Data Table'!$C7,'Prior YTD Data Pull'!$A$2:$A$605,0),MATCH("Total Non Operating Revenue",'Prior YTD Data Pull'!$A$1:$CB$1,0)),"")</f>
        <v>-3763158</v>
      </c>
      <c r="AH7" s="38">
        <f>IFERROR(INDEX('Prior YTD Data Pull'!$A$2:$CB$605,MATCH('Prior YTD Data Table'!$C7,'Prior Year Data Pull'!$A$2:$A$593,0),MATCH("Less Accumulated Depreciation",'Prior YTD Data Pull'!$A$1:$CB$1,0)),"")</f>
        <v>0</v>
      </c>
      <c r="AI7" s="38">
        <f>IFERROR(INDEX('Prior YTD Data Pull'!$A$2:$CB$605,MATCH('Prior YTD Data Table'!$C7,'Prior YTD Data Pull'!$A$2:$A$605,0),MATCH("Depreciation and Amortization Expense",'Prior YTD Data Pull'!$A$1:$CB$1,0)),"")</f>
        <v>15099731</v>
      </c>
      <c r="AJ7" s="38">
        <f>IFERROR(INDEX('Prior YTD Data Pull'!$A$2:$CB$605,MATCH('Prior YTD Data Table'!$C7,'Prior YTD Data Pull'!$A$2:$A$605,0),MATCH("Net Patient Accounts Receivable",'Prior YTD Data Pull'!$A$1:$CB$1,0)),"")</f>
        <v>112957750</v>
      </c>
      <c r="AK7" s="14" t="str">
        <f>IF('Prior YTD Data Pull'!$H7 = 6, "183", IF('Prior YTD Data Pull'!$H7 = 3, "93",""))</f>
        <v>183</v>
      </c>
      <c r="AL7" s="38">
        <f>IFERROR(INDEX('Prior YTD Data Pull'!$A$2:$CB$605,MATCH('Prior YTD Data Table'!$C7,'Prior YTD Data Pull'!$A$2:$A$605,0),MATCH("Estimated Third Party Settlements",'Prior YTD Data Pull'!$A$1:$CB$1,0)),"")</f>
        <v>0</v>
      </c>
      <c r="AM7" s="38">
        <f>IFERROR(INDEX('Prior YTD Data Pull'!$A$2:$CB$605,MATCH('Prior YTD Data Table'!$C7,'Prior YTD Data Pull'!$A$2:$A$605,0),MATCH("Current Liabilities due to Affiliates",'Prior YTD Data Pull'!$A$1:$CB$1,0)),"")</f>
        <v>477573</v>
      </c>
      <c r="AN7" s="38">
        <f>IFERROR(INDEX('Prior YTD Data Pull'!$A$2:$CB$605,MATCH('Prior YTD Data Table'!$C7,'Prior YTD Data Pull'!$A$2:$A$605,0),MATCH("Short Term Investments",'Prior YTD Data Pull'!$A$1:$CB$1,0)),"")</f>
        <v>0</v>
      </c>
      <c r="AO7" s="38">
        <f>IFERROR(INDEX('Prior YTD Data Pull'!$A$2:$CB$605,MATCH('Prior YTD Data Table'!$C7,'Prior YTD Data Pull'!$A$2:$A$605,0),MATCH("Cash and Cash Equivalents",'Prior YTD Data Pull'!$A$1:$CB$1,0)),"")</f>
        <v>25028617</v>
      </c>
      <c r="AP7" s="38">
        <f>IFERROR(INDEX('Prior YTD Data Pull'!$A$2:$CB$605,MATCH('Prior YTD Data Table'!$C7,'Prior YTD Data Pull'!$A$2:$A$605,0),MATCH("Interest Expense",'Prior YTD Data Pull'!$A$1:$CB$1,0)),"")</f>
        <v>3571147</v>
      </c>
      <c r="AQ7" s="38">
        <f>IFERROR(INDEX('Prior YTD Data Pull'!$A$2:$CB$605,MATCH('Prior YTD Data Table'!$C7,'Prior YTD Data Pull'!$A$2:$A$605,0),MATCH("Long Term Debt Net of Current Portion",'Prior YTD Data Pull'!$A$1:$CB$1,0)),"")</f>
        <v>165613112</v>
      </c>
      <c r="AR7" s="38">
        <f>IFERROR(INDEX('Prior YTD Data Pull'!$A$2:$CB$605,MATCH('Prior YTD Data Table'!$C7,'Prior YTD Data Pull'!$A$2:$A$605,0),MATCH("Total Assets",'Prior YTD Data Pull'!$A$1:$CB$1,0)),"")</f>
        <v>679857578</v>
      </c>
      <c r="AS7" s="38">
        <f>IFERROR(INDEX('Prior YTD Data Pull'!$A$2:$CB$605,MATCH('Prior YTD Data Table'!$C7,'Prior YTD Data Pull'!$A$2:$A$605,0),MATCH("Long Term Debt Net of Current Portion",'Prior YTD Data Pull'!$A$1:$CB$1,0)),"")</f>
        <v>165613112</v>
      </c>
      <c r="AT7" s="38">
        <f>IFERROR(INDEX('Prior YTD Data Pull'!$A$2:$CB$605,MATCH('Prior YTD Data Table'!$C7,'Prior YTD Data Pull'!$A$2:$A$605,0),MATCH("Net Unrestricted Assets",'Prior YTD Data Pull'!$A$1:$CB$1,0)),"")</f>
        <v>336439873</v>
      </c>
      <c r="AU7" s="38">
        <f>IFERROR(INDEX('Prior YTD Data Pull'!$A$2:$CB$605,MATCH('Prior YTD Data Table'!$C7,'Prior YTD Data Pull'!$A$2:$A$605,0),MATCH("Unrealized Gains/Losses",'Prior YTD Data Pull'!$A$1:$CB$1,0)),"")</f>
        <v>-10861975</v>
      </c>
      <c r="AV7" s="38">
        <f>IFERROR(INDEX('Prior YTD Data Pull'!$A$2:$CB$605,MATCH('Prior YTD Data Table'!$C7,'Prior YTD Data Pull'!$A$2:$A$605,0),MATCH("Salary and Benefit Expense",'Prior YTD Data Pull'!$A$1:$CB$1,0)),"")</f>
        <v>260127760</v>
      </c>
      <c r="AW7" s="47"/>
      <c r="AX7" s="47"/>
      <c r="AY7" s="47"/>
      <c r="AZ7" s="47"/>
    </row>
    <row r="8" spans="1:83" ht="34.200000000000003" x14ac:dyDescent="0.3">
      <c r="A8" s="14" t="str">
        <f>IFERROR(INDEX('Static Data Tab'!$N$2:$N$610,MATCH(D8,'Static Data Tab'!$D$2:$D$610,0)), "")</f>
        <v>Berkshire Health Systems</v>
      </c>
      <c r="B8" s="57" t="s">
        <v>86</v>
      </c>
      <c r="C8" s="57">
        <v>6309</v>
      </c>
      <c r="D8" s="57">
        <v>3106</v>
      </c>
      <c r="E8" s="14" t="str">
        <f>IFERROR(INDEX('Prior YTD Data Pull'!$A$1:$CB$605,MATCH('Prior YTD Data Table'!$C8,'Prior YTD Data Pull'!$A$1:$A$605,0),MATCH("Organization Type",'Prior YTD Data Pull'!$A$1:$CB$1,0)),"")</f>
        <v>AcuteHospital</v>
      </c>
      <c r="F8" s="14" t="str">
        <f>IFERROR(INDEX('Static Data Tab'!$E$2:$E$610,MATCH('Prior YTD Data Table'!$C8,'Static Data Tab'!$B$2:$B$610,0)), "-")</f>
        <v>Teaching Hospital</v>
      </c>
      <c r="G8" s="46" t="str">
        <f>IFERROR(INDEX('Static Data Tab'!$J$2:$J$610,MATCH('Prior YTD Data Table'!$C8,'Static Data Tab'!$B$2:$B$610,0)), "")</f>
        <v>Western Massachusetts</v>
      </c>
      <c r="H8" s="14" t="str">
        <f>IFERROR(INDEX('Static Data Tab'!$F$2:$F$610,MATCH('Prior YTD Data Table'!$C8,'Static Data Tab'!$B$2:$B$610,0)), "")</f>
        <v>x</v>
      </c>
      <c r="I8" s="14">
        <f>IFERROR(INDEX('Static Data Tab'!$G$2:$G$610,MATCH('Prior YTD Data Table'!$C8,'Static Data Tab'!$B$2:$B$610,0)), "")</f>
        <v>0</v>
      </c>
      <c r="J8" s="14" t="str">
        <f>IFERROR(INDEX('Prior YTD Data Pull'!$A$2:$CB$605,MATCH('Prior YTD Data Table'!$C8,'Prior YTD Data Pull'!$A$2:$A$605,0),MATCH("Quarter Range",'Prior YTD Data Pull'!$A$1:$CB$1,0)),"")</f>
        <v xml:space="preserve">10/01/2024-03/31/2025
</v>
      </c>
      <c r="K8" s="37">
        <f t="shared" si="2"/>
        <v>0.10883250481633316</v>
      </c>
      <c r="L8" s="37">
        <f t="shared" si="3"/>
        <v>-1.1973506178564174E-2</v>
      </c>
      <c r="M8" s="37">
        <f t="shared" si="4"/>
        <v>9.6858998637768992E-2</v>
      </c>
      <c r="N8" s="38">
        <f t="shared" si="5"/>
        <v>35420420</v>
      </c>
      <c r="O8" s="39">
        <f t="shared" si="6"/>
        <v>1.8277810762078948</v>
      </c>
      <c r="P8" s="38">
        <f>IFERROR(INDEX('Prior YTD Data Pull'!$A$2:$CB$605,MATCH('Prior YTD Data Table'!$C8,'Prior YTD Data Pull'!$A$2:$A$605,0),MATCH("Total Net Assets or Equity",'Prior YTD Data Pull'!$A$1:$CB$1,0)),"")</f>
        <v>665765759</v>
      </c>
      <c r="Q8" s="38">
        <f>IFERROR(INDEX('Prior YTD Data Pull'!$A$2:$CB$605,MATCH('Prior YTD Data Table'!$C8,'Prior YTD Data Pull'!$A$2:$A$605,0),MATCH("Total Operating Revenue",'Prior YTD Data Pull'!$A$1:$CB$1,0)),"")</f>
        <v>370069143</v>
      </c>
      <c r="R8" s="38">
        <f>IFERROR(INDEX('Prior YTD Data Pull'!$A$2:$CB$605,MATCH('Prior YTD Data Table'!$C8,'Prior YTD Data Pull'!$A$2:$A$605,0),MATCH("Total Unrestricted Revenue Gains and Other Support",'Prior YTD Data Pull'!$A$1:$CB$1,0)),"")</f>
        <v>365690545</v>
      </c>
      <c r="S8" s="38">
        <f>IFERROR(INDEX('Prior YTD TS Data Pull'!$J$2:$J$128,MATCH('Prior YTD Data Table'!$C8, 'Prior YTD TS Data Pull'!$A$2:$A$128,0))+INDEX('Prior YTD TS Data Pull'!$N$2:$N$128,MATCH('Prior YTD Data Table'!$C8,'Prior YTD TS Data Pull'!$A$2:$A$609,0))+INDEX('Prior YTD TS Data Pull'!$R$2:$R$128,MATCH('Prior YTD Data Table'!$C8,'Prior YTD TS Data Pull'!$A$2:$A$609,0)),"")</f>
        <v>10488745</v>
      </c>
      <c r="T8" s="38">
        <f>IF(INDEX('Prior YTD TS Data Pull'!$A$1:$O$609,MATCH('Prior YTD Data Table'!$C8,'Prior YTD TS Data Pull'!$A$1:$A$609,0),MATCH("Temporary RN Staffing:
Line Reported on in Standardized Financials",'Prior YTD TS Data Pull'!$A$1:$O$1,0))="66.1: Salary and Benefit Expense",'Prior YTD Data Table'!$AV8-'Prior YTD Data Table'!$S8,0)</f>
        <v>0</v>
      </c>
      <c r="U8" s="38">
        <f>IFERROR(INDEX('Prior YTD Data Pull'!$A$2:$CB$605,MATCH('Prior YTD Data Table'!$C8,'Prior YTD Data Pull'!$A$2:$A$605,0),MATCH("Total Expenses Including Nonrecurring Gains Losses",'Prior YTD Data Pull'!$A$1:$CB$1,0)),"")</f>
        <v>330270125</v>
      </c>
      <c r="V8" s="41">
        <f t="shared" si="7"/>
        <v>159.4876435233644</v>
      </c>
      <c r="W8" s="41">
        <f t="shared" si="8"/>
        <v>33.388627779095174</v>
      </c>
      <c r="X8" s="41">
        <f t="shared" si="0"/>
        <v>43.706270241439711</v>
      </c>
      <c r="Y8" s="37">
        <f t="shared" si="9"/>
        <v>2.0826856410440699</v>
      </c>
      <c r="Z8" s="41">
        <f t="shared" si="1"/>
        <v>82.862415727737769</v>
      </c>
      <c r="AA8" s="39">
        <f t="shared" si="10"/>
        <v>2.0767676817014666</v>
      </c>
      <c r="AB8" s="37">
        <f t="shared" si="11"/>
        <v>0.78561523639520381</v>
      </c>
      <c r="AC8" s="37">
        <f t="shared" si="12"/>
        <v>5.1048275209328899E-2</v>
      </c>
      <c r="AD8" s="38">
        <f>IFERROR(INDEX('Prior YTD Data Pull'!$A$2:$CB$605,MATCH('Prior YTD Data Table'!$C8,'Prior YTD Data Pull'!$A$2:$A$605,0),MATCH("Net Patient Service Revenue",'Prior YTD Data Pull'!$A$1:$CB$1,0)),"")</f>
        <v>264713676</v>
      </c>
      <c r="AE8" s="38">
        <f>IFERROR(INDEX('Prior YTD Data Pull'!$A$2:$CB$605,MATCH('Prior YTD Data Table'!$C8,'Prior YTD Data Pull'!$A$2:$A$605,0),MATCH("Total Current Assets",'Prior YTD Data Pull'!$A$1:$CB$1,0)),"")</f>
        <v>239073030</v>
      </c>
      <c r="AF8" s="38">
        <f>IFERROR(INDEX('Prior YTD Data Pull'!$A$2:$CB$605,MATCH('Prior YTD Data Table'!$C8,'Prior YTD Data Pull'!$A$2:$A$605,0),MATCH("Total Current Liabilities",'Prior YTD Data Pull'!$A$1:$CB$1,0)),"")</f>
        <v>130799598</v>
      </c>
      <c r="AG8" s="38">
        <f>IFERROR(INDEX('Prior YTD Data Pull'!$A$2:$CB$605,MATCH('Prior YTD Data Table'!$C8,'Prior YTD Data Pull'!$A$2:$A$605,0),MATCH("Total Non Operating Revenue",'Prior YTD Data Pull'!$A$1:$CB$1,0)),"")</f>
        <v>-4378598</v>
      </c>
      <c r="AH8" s="38">
        <f>IFERROR(INDEX('Prior YTD Data Pull'!$A$2:$CB$605,MATCH('Prior YTD Data Table'!$C8,'Prior Year Data Pull'!$A$2:$A$593,0),MATCH("Less Accumulated Depreciation",'Prior YTD Data Pull'!$A$1:$CB$1,0)),"")</f>
        <v>1340403214.3199999</v>
      </c>
      <c r="AI8" s="38">
        <f>IFERROR(INDEX('Prior YTD Data Pull'!$A$2:$CB$605,MATCH('Prior YTD Data Table'!$C8,'Prior YTD Data Pull'!$A$2:$A$605,0),MATCH("Depreciation and Amortization Expense",'Prior YTD Data Pull'!$A$1:$CB$1,0)),"")</f>
        <v>8404433</v>
      </c>
      <c r="AJ8" s="38">
        <f>IFERROR(INDEX('Prior YTD Data Pull'!$A$2:$CB$605,MATCH('Prior YTD Data Table'!$C8,'Prior YTD Data Pull'!$A$2:$A$605,0),MATCH("Net Patient Accounts Receivable",'Prior YTD Data Pull'!$A$1:$CB$1,0)),"")</f>
        <v>48297412</v>
      </c>
      <c r="AK8" s="14" t="str">
        <f>IF('Prior YTD Data Pull'!$H8 = 6, "183", IF('Prior YTD Data Pull'!$H8 = 3, "93",""))</f>
        <v>183</v>
      </c>
      <c r="AL8" s="38">
        <f>IFERROR(INDEX('Prior YTD Data Pull'!$A$2:$CB$605,MATCH('Prior YTD Data Table'!$C8,'Prior YTD Data Pull'!$A$2:$A$605,0),MATCH("Estimated Third Party Settlements",'Prior YTD Data Pull'!$A$1:$CB$1,0)),"")</f>
        <v>53927746</v>
      </c>
      <c r="AM8" s="38">
        <f>IFERROR(INDEX('Prior YTD Data Pull'!$A$2:$CB$605,MATCH('Prior YTD Data Table'!$C8,'Prior YTD Data Pull'!$A$2:$A$605,0),MATCH("Current Liabilities due to Affiliates",'Prior YTD Data Pull'!$A$1:$CB$1,0)),"")</f>
        <v>0</v>
      </c>
      <c r="AN8" s="38">
        <f>IFERROR(INDEX('Prior YTD Data Pull'!$A$2:$CB$605,MATCH('Prior YTD Data Table'!$C8,'Prior YTD Data Pull'!$A$2:$A$605,0),MATCH("Short Term Investments",'Prior YTD Data Pull'!$A$1:$CB$1,0)),"")</f>
        <v>0</v>
      </c>
      <c r="AO8" s="38">
        <f>IFERROR(INDEX('Prior YTD Data Pull'!$A$2:$CB$605,MATCH('Prior YTD Data Table'!$C8,'Prior YTD Data Pull'!$A$2:$A$605,0),MATCH("Cash and Cash Equivalents",'Prior YTD Data Pull'!$A$1:$CB$1,0)),"")</f>
        <v>145740813</v>
      </c>
      <c r="AP8" s="38">
        <f>IFERROR(INDEX('Prior YTD Data Pull'!$A$2:$CB$605,MATCH('Prior YTD Data Table'!$C8,'Prior YTD Data Pull'!$A$2:$A$605,0),MATCH("Interest Expense",'Prior YTD Data Pull'!$A$1:$CB$1,0)),"")</f>
        <v>183526</v>
      </c>
      <c r="AQ8" s="38">
        <f>IFERROR(INDEX('Prior YTD Data Pull'!$A$2:$CB$605,MATCH('Prior YTD Data Table'!$C8,'Prior YTD Data Pull'!$A$2:$A$605,0),MATCH("Long Term Debt Net of Current Portion",'Prior YTD Data Pull'!$A$1:$CB$1,0)),"")</f>
        <v>33392400</v>
      </c>
      <c r="AR8" s="38">
        <f>IFERROR(INDEX('Prior YTD Data Pull'!$A$2:$CB$605,MATCH('Prior YTD Data Table'!$C8,'Prior YTD Data Pull'!$A$2:$A$605,0),MATCH("Total Assets",'Prior YTD Data Pull'!$A$1:$CB$1,0)),"")</f>
        <v>847445070</v>
      </c>
      <c r="AS8" s="38">
        <f>IFERROR(INDEX('Prior YTD Data Pull'!$A$2:$CB$605,MATCH('Prior YTD Data Table'!$C8,'Prior YTD Data Pull'!$A$2:$A$605,0),MATCH("Long Term Debt Net of Current Portion",'Prior YTD Data Pull'!$A$1:$CB$1,0)),"")</f>
        <v>33392400</v>
      </c>
      <c r="AT8" s="38">
        <f>IFERROR(INDEX('Prior YTD Data Pull'!$A$2:$CB$605,MATCH('Prior YTD Data Table'!$C8,'Prior YTD Data Pull'!$A$2:$A$605,0),MATCH("Net Unrestricted Assets",'Prior YTD Data Pull'!$A$1:$CB$1,0)),"")</f>
        <v>620741356</v>
      </c>
      <c r="AU8" s="38">
        <f>IFERROR(INDEX('Prior YTD Data Pull'!$A$2:$CB$605,MATCH('Prior YTD Data Table'!$C8,'Prior YTD Data Pull'!$A$2:$A$605,0),MATCH("Unrealized Gains/Losses",'Prior YTD Data Pull'!$A$1:$CB$1,0)),"")</f>
        <v>-25721019</v>
      </c>
      <c r="AV8" s="38">
        <f>IFERROR(INDEX('Prior YTD Data Pull'!$A$2:$CB$605,MATCH('Prior YTD Data Table'!$C8,'Prior YTD Data Pull'!$A$2:$A$605,0),MATCH("Salary and Benefit Expense",'Prior YTD Data Pull'!$A$1:$CB$1,0)),"")</f>
        <v>151018791</v>
      </c>
      <c r="AW8" s="38"/>
      <c r="AX8" s="38"/>
      <c r="AY8" s="38"/>
      <c r="AZ8" s="38"/>
    </row>
    <row r="9" spans="1:83" ht="34.200000000000003" x14ac:dyDescent="0.3">
      <c r="A9" s="14" t="str">
        <f>IFERROR(INDEX('Static Data Tab'!$N$2:$N$610,MATCH(D9,'Static Data Tab'!$D$2:$D$610,0)), "")</f>
        <v>Boston Children's Hospital and Subsid.</v>
      </c>
      <c r="B9" s="14" t="s">
        <v>115</v>
      </c>
      <c r="C9" s="14">
        <v>46</v>
      </c>
      <c r="D9" s="14">
        <v>14286</v>
      </c>
      <c r="E9" s="14" t="str">
        <f>IFERROR(INDEX('Prior YTD Data Pull'!$A$1:$CB$605,MATCH('Prior YTD Data Table'!$C9,'Prior YTD Data Pull'!$A$1:$A$605,0),MATCH("Organization Type",'Prior YTD Data Pull'!$A$1:$CB$1,0)),"")</f>
        <v>AcuteHospital</v>
      </c>
      <c r="F9" s="14" t="str">
        <f>IFERROR(INDEX('Static Data Tab'!$E$2:$E$610,MATCH('Prior YTD Data Table'!$C9,'Static Data Tab'!$B$2:$B$610,0)), "-")</f>
        <v>Specialty Hospital</v>
      </c>
      <c r="G9" s="46" t="str">
        <f>IFERROR(INDEX('Static Data Tab'!$J$2:$J$610,MATCH('Prior YTD Data Table'!$C9,'Static Data Tab'!$B$2:$B$610,0)), "")</f>
        <v>Metro Boston</v>
      </c>
      <c r="H9" s="14">
        <f>IFERROR(INDEX('Static Data Tab'!$F$2:$F$610,MATCH('Prior YTD Data Table'!$C9,'Static Data Tab'!$B$2:$B$610,0)), "")</f>
        <v>0</v>
      </c>
      <c r="I9" s="14" t="str">
        <f>IFERROR(INDEX('Static Data Tab'!$G$2:$G$610,MATCH('Prior YTD Data Table'!$C9,'Static Data Tab'!$B$2:$B$610,0)), "")</f>
        <v>x</v>
      </c>
      <c r="J9" s="14" t="str">
        <f>IFERROR(INDEX('Prior YTD Data Pull'!$A$2:$CB$605,MATCH('Prior YTD Data Table'!$C9,'Prior YTD Data Pull'!$A$2:$A$605,0),MATCH("Quarter Range",'Prior YTD Data Pull'!$A$1:$CB$1,0)),"")</f>
        <v xml:space="preserve">10/01/2024-03/31/2025
</v>
      </c>
      <c r="K9" s="37">
        <f t="shared" si="2"/>
        <v>-2.0561908575602684E-2</v>
      </c>
      <c r="L9" s="37">
        <f t="shared" si="3"/>
        <v>2.1221971677635239E-2</v>
      </c>
      <c r="M9" s="37">
        <f t="shared" si="4"/>
        <v>6.6006310203255429E-4</v>
      </c>
      <c r="N9" s="38">
        <f t="shared" si="5"/>
        <v>1050000</v>
      </c>
      <c r="O9" s="39">
        <f t="shared" si="6"/>
        <v>4.6757202964088274</v>
      </c>
      <c r="P9" s="38">
        <f>IFERROR(INDEX('Prior YTD Data Pull'!$A$2:$CB$605,MATCH('Prior YTD Data Table'!$C9,'Prior YTD Data Pull'!$A$2:$A$605,0),MATCH("Total Net Assets or Equity",'Prior YTD Data Pull'!$A$1:$CB$1,0)),"")</f>
        <v>5367138000</v>
      </c>
      <c r="Q9" s="38">
        <f>IFERROR(INDEX('Prior YTD Data Pull'!$A$2:$CB$605,MATCH('Prior YTD Data Table'!$C9,'Prior YTD Data Pull'!$A$2:$A$605,0),MATCH("Total Operating Revenue",'Prior YTD Data Pull'!$A$1:$CB$1,0)),"")</f>
        <v>1556998000</v>
      </c>
      <c r="R9" s="38">
        <f>IFERROR(INDEX('Prior YTD Data Pull'!$A$2:$CB$605,MATCH('Prior YTD Data Table'!$C9,'Prior YTD Data Pull'!$A$2:$A$605,0),MATCH("Total Unrestricted Revenue Gains and Other Support",'Prior YTD Data Pull'!$A$1:$CB$1,0)),"")</f>
        <v>1590757000</v>
      </c>
      <c r="S9" s="38">
        <f>IFERROR(INDEX('Prior YTD TS Data Pull'!$J$2:$J$128,MATCH('Prior YTD Data Table'!$C9, 'Prior YTD TS Data Pull'!$A$2:$A$128,0))+INDEX('Prior YTD TS Data Pull'!$N$2:$N$128,MATCH('Prior YTD Data Table'!$C9,'Prior YTD TS Data Pull'!$A$2:$A$609,0))+INDEX('Prior YTD TS Data Pull'!$R$2:$R$128,MATCH('Prior YTD Data Table'!$C9,'Prior YTD TS Data Pull'!$A$2:$A$609,0)),"")</f>
        <v>12999445.73</v>
      </c>
      <c r="T9" s="38">
        <f>IF(INDEX('Prior YTD TS Data Pull'!$A$1:$O$609,MATCH('Prior YTD Data Table'!$C9,'Prior YTD TS Data Pull'!$A$1:$A$609,0),MATCH("Temporary RN Staffing:
Line Reported on in Standardized Financials",'Prior YTD TS Data Pull'!$A$1:$O$1,0))="66.1: Salary and Benefit Expense",'Prior YTD Data Table'!$AV9-'Prior YTD Data Table'!$S9,0)</f>
        <v>652456554.26999998</v>
      </c>
      <c r="U9" s="38">
        <f>IFERROR(INDEX('Prior YTD Data Pull'!$A$2:$CB$605,MATCH('Prior YTD Data Table'!$C9,'Prior YTD Data Pull'!$A$2:$A$605,0),MATCH("Total Expenses Including Nonrecurring Gains Losses",'Prior YTD Data Pull'!$A$1:$CB$1,0)),"")</f>
        <v>1589707000</v>
      </c>
      <c r="V9" s="41">
        <f t="shared" si="7"/>
        <v>0</v>
      </c>
      <c r="W9" s="41">
        <f t="shared" si="8"/>
        <v>74.825804951160265</v>
      </c>
      <c r="X9" s="41">
        <f t="shared" si="0"/>
        <v>85.385021465453789</v>
      </c>
      <c r="Y9" s="37">
        <f t="shared" si="9"/>
        <v>5.2328637301201748E-2</v>
      </c>
      <c r="Z9" s="41">
        <f t="shared" si="1"/>
        <v>0.11172446309500143</v>
      </c>
      <c r="AA9" s="39">
        <f t="shared" si="10"/>
        <v>6.4402488649871567E-2</v>
      </c>
      <c r="AB9" s="37">
        <f t="shared" si="11"/>
        <v>0.60809276218270114</v>
      </c>
      <c r="AC9" s="37">
        <f t="shared" si="12"/>
        <v>0.39289013628829317</v>
      </c>
      <c r="AD9" s="38">
        <f>IFERROR(INDEX('Prior YTD Data Pull'!$A$2:$CB$605,MATCH('Prior YTD Data Table'!$C9,'Prior YTD Data Pull'!$A$2:$A$605,0),MATCH("Net Patient Service Revenue",'Prior YTD Data Pull'!$A$1:$CB$1,0)),"")</f>
        <v>1122242000</v>
      </c>
      <c r="AE9" s="38">
        <f>IFERROR(INDEX('Prior YTD Data Pull'!$A$2:$CB$605,MATCH('Prior YTD Data Table'!$C9,'Prior YTD Data Pull'!$A$2:$A$605,0),MATCH("Total Current Assets",'Prior YTD Data Pull'!$A$1:$CB$1,0)),"")</f>
        <v>3299408000</v>
      </c>
      <c r="AF9" s="38">
        <f>IFERROR(INDEX('Prior YTD Data Pull'!$A$2:$CB$605,MATCH('Prior YTD Data Table'!$C9,'Prior YTD Data Pull'!$A$2:$A$605,0),MATCH("Total Current Liabilities",'Prior YTD Data Pull'!$A$1:$CB$1,0)),"")</f>
        <v>705647000</v>
      </c>
      <c r="AG9" s="38">
        <f>IFERROR(INDEX('Prior YTD Data Pull'!$A$2:$CB$605,MATCH('Prior YTD Data Table'!$C9,'Prior YTD Data Pull'!$A$2:$A$605,0),MATCH("Total Non Operating Revenue",'Prior YTD Data Pull'!$A$1:$CB$1,0)),"")</f>
        <v>33759000</v>
      </c>
      <c r="AH9" s="38">
        <f>IFERROR(INDEX('Prior YTD Data Pull'!$A$2:$CB$605,MATCH('Prior YTD Data Table'!$C9,'Prior Year Data Pull'!$A$2:$A$593,0),MATCH("Less Accumulated Depreciation",'Prior YTD Data Pull'!$A$1:$CB$1,0)),"")</f>
        <v>0</v>
      </c>
      <c r="AI9" s="38">
        <f>IFERROR(INDEX('Prior YTD Data Pull'!$A$2:$CB$605,MATCH('Prior YTD Data Table'!$C9,'Prior YTD Data Pull'!$A$2:$A$605,0),MATCH("Depreciation and Amortization Expense",'Prior YTD Data Pull'!$A$1:$CB$1,0)),"")</f>
        <v>100803000</v>
      </c>
      <c r="AJ9" s="38">
        <f>IFERROR(INDEX('Prior YTD Data Pull'!$A$2:$CB$605,MATCH('Prior YTD Data Table'!$C9,'Prior YTD Data Pull'!$A$2:$A$605,0),MATCH("Net Patient Accounts Receivable",'Prior YTD Data Pull'!$A$1:$CB$1,0)),"")</f>
        <v>458867000</v>
      </c>
      <c r="AK9" s="14" t="str">
        <f>IF('Prior YTD Data Pull'!$H9 = 6, "183", IF('Prior YTD Data Pull'!$H9 = 3, "93",""))</f>
        <v>183</v>
      </c>
      <c r="AL9" s="38">
        <f>IFERROR(INDEX('Prior YTD Data Pull'!$A$2:$CB$605,MATCH('Prior YTD Data Table'!$C9,'Prior YTD Data Pull'!$A$2:$A$605,0),MATCH("Estimated Third Party Settlements",'Prior YTD Data Pull'!$A$1:$CB$1,0)),"")</f>
        <v>10947000</v>
      </c>
      <c r="AM9" s="38">
        <f>IFERROR(INDEX('Prior YTD Data Pull'!$A$2:$CB$605,MATCH('Prior YTD Data Table'!$C9,'Prior YTD Data Pull'!$A$2:$A$605,0),MATCH("Current Liabilities due to Affiliates",'Prior YTD Data Pull'!$A$1:$CB$1,0)),"")</f>
        <v>0</v>
      </c>
      <c r="AN9" s="38">
        <f>IFERROR(INDEX('Prior YTD Data Pull'!$A$2:$CB$605,MATCH('Prior YTD Data Table'!$C9,'Prior YTD Data Pull'!$A$2:$A$605,0),MATCH("Short Term Investments",'Prior YTD Data Pull'!$A$1:$CB$1,0)),"")</f>
        <v>0</v>
      </c>
      <c r="AO9" s="38">
        <f>IFERROR(INDEX('Prior YTD Data Pull'!$A$2:$CB$605,MATCH('Prior YTD Data Table'!$C9,'Prior YTD Data Pull'!$A$2:$A$605,0),MATCH("Cash and Cash Equivalents",'Prior YTD Data Pull'!$A$1:$CB$1,0)),"")</f>
        <v>909000</v>
      </c>
      <c r="AP9" s="38">
        <f>IFERROR(INDEX('Prior YTD Data Pull'!$A$2:$CB$605,MATCH('Prior YTD Data Table'!$C9,'Prior YTD Data Pull'!$A$2:$A$605,0),MATCH("Interest Expense",'Prior YTD Data Pull'!$A$1:$CB$1,0)),"")</f>
        <v>25927000</v>
      </c>
      <c r="AQ9" s="38">
        <f>IFERROR(INDEX('Prior YTD Data Pull'!$A$2:$CB$605,MATCH('Prior YTD Data Table'!$C9,'Prior YTD Data Pull'!$A$2:$A$605,0),MATCH("Long Term Debt Net of Current Portion",'Prior YTD Data Pull'!$A$1:$CB$1,0)),"")</f>
        <v>2009072000</v>
      </c>
      <c r="AR9" s="38">
        <f>IFERROR(INDEX('Prior YTD Data Pull'!$A$2:$CB$605,MATCH('Prior YTD Data Table'!$C9,'Prior YTD Data Pull'!$A$2:$A$605,0),MATCH("Total Assets",'Prior YTD Data Pull'!$A$1:$CB$1,0)),"")</f>
        <v>8826183000</v>
      </c>
      <c r="AS9" s="38">
        <f>IFERROR(INDEX('Prior YTD Data Pull'!$A$2:$CB$605,MATCH('Prior YTD Data Table'!$C9,'Prior YTD Data Pull'!$A$2:$A$605,0),MATCH("Long Term Debt Net of Current Portion",'Prior YTD Data Pull'!$A$1:$CB$1,0)),"")</f>
        <v>2009072000</v>
      </c>
      <c r="AT9" s="38">
        <f>IFERROR(INDEX('Prior YTD Data Pull'!$A$2:$CB$605,MATCH('Prior YTD Data Table'!$C9,'Prior YTD Data Pull'!$A$2:$A$605,0),MATCH("Net Unrestricted Assets",'Prior YTD Data Pull'!$A$1:$CB$1,0)),"")</f>
        <v>3104500000</v>
      </c>
      <c r="AU9" s="38">
        <f>IFERROR(INDEX('Prior YTD Data Pull'!$A$2:$CB$605,MATCH('Prior YTD Data Table'!$C9,'Prior YTD Data Pull'!$A$2:$A$605,0),MATCH("Unrealized Gains/Losses",'Prior YTD Data Pull'!$A$1:$CB$1,0)),"")</f>
        <v>-3279000</v>
      </c>
      <c r="AV9" s="38">
        <f>IFERROR(INDEX('Prior YTD Data Pull'!$A$2:$CB$605,MATCH('Prior YTD Data Table'!$C9,'Prior YTD Data Pull'!$A$2:$A$605,0),MATCH("Salary and Benefit Expense",'Prior YTD Data Pull'!$A$1:$CB$1,0)),"")</f>
        <v>665456000</v>
      </c>
      <c r="AW9" s="47"/>
      <c r="AX9" s="47"/>
      <c r="AY9" s="47"/>
      <c r="AZ9" s="47"/>
    </row>
    <row r="10" spans="1:83" ht="34.200000000000003" x14ac:dyDescent="0.3">
      <c r="A10" s="14" t="str">
        <f>IFERROR(INDEX('Static Data Tab'!$N$2:$N$610,MATCH(D10,'Static Data Tab'!$D$2:$D$610,0)), "")</f>
        <v>Dana-Farber Cancer Institute and Subsid.</v>
      </c>
      <c r="B10" s="57" t="s">
        <v>129</v>
      </c>
      <c r="C10" s="57">
        <v>51</v>
      </c>
      <c r="D10" s="57">
        <v>13155</v>
      </c>
      <c r="E10" s="14" t="str">
        <f>IFERROR(INDEX('Prior YTD Data Pull'!$A$1:$CB$605,MATCH('Prior YTD Data Table'!$C10,'Prior YTD Data Pull'!$A$1:$A$605,0),MATCH("Organization Type",'Prior YTD Data Pull'!$A$1:$CB$1,0)),"")</f>
        <v>AcuteHospital</v>
      </c>
      <c r="F10" s="14" t="str">
        <f>IFERROR(INDEX('Static Data Tab'!$E$2:$E$610,MATCH('Prior YTD Data Table'!$C10,'Static Data Tab'!$B$2:$B$610,0)), "-")</f>
        <v>Specialty Hospital</v>
      </c>
      <c r="G10" s="46" t="str">
        <f>IFERROR(INDEX('Static Data Tab'!$J$2:$J$610,MATCH('Prior YTD Data Table'!$C10,'Static Data Tab'!$B$2:$B$610,0)), "")</f>
        <v>Metro Boston</v>
      </c>
      <c r="H10" s="14">
        <f>IFERROR(INDEX('Static Data Tab'!$F$2:$F$610,MATCH('Prior YTD Data Table'!$C10,'Static Data Tab'!$B$2:$B$610,0)), "")</f>
        <v>0</v>
      </c>
      <c r="I10" s="14" t="str">
        <f>IFERROR(INDEX('Static Data Tab'!$G$2:$G$610,MATCH('Prior YTD Data Table'!$C10,'Static Data Tab'!$B$2:$B$610,0)), "")</f>
        <v>x</v>
      </c>
      <c r="J10" s="14" t="str">
        <f>IFERROR(INDEX('Prior YTD Data Pull'!$A$2:$CB$605,MATCH('Prior YTD Data Table'!$C10,'Prior YTD Data Pull'!$A$2:$A$605,0),MATCH("Quarter Range",'Prior YTD Data Pull'!$A$1:$CB$1,0)),"")</f>
        <v xml:space="preserve">10/01/2024-03/31/2025
</v>
      </c>
      <c r="K10" s="37">
        <f t="shared" si="2"/>
        <v>-6.4606092378034372E-2</v>
      </c>
      <c r="L10" s="37">
        <f t="shared" si="3"/>
        <v>0.11794656304981628</v>
      </c>
      <c r="M10" s="37">
        <f t="shared" si="4"/>
        <v>5.3340470671781895E-2</v>
      </c>
      <c r="N10" s="38">
        <f t="shared" si="5"/>
        <v>104641540.48000002</v>
      </c>
      <c r="O10" s="39">
        <f t="shared" si="6"/>
        <v>1.2216709055568737</v>
      </c>
      <c r="P10" s="38">
        <f>IFERROR(INDEX('Prior YTD Data Pull'!$A$2:$CB$605,MATCH('Prior YTD Data Table'!$C10,'Prior YTD Data Pull'!$A$2:$A$605,0),MATCH("Total Net Assets or Equity",'Prior YTD Data Pull'!$A$1:$CB$1,0)),"")</f>
        <v>4067037614.7800002</v>
      </c>
      <c r="Q10" s="38">
        <f>IFERROR(INDEX('Prior YTD Data Pull'!$A$2:$CB$605,MATCH('Prior YTD Data Table'!$C10,'Prior YTD Data Pull'!$A$2:$A$605,0),MATCH("Total Operating Revenue",'Prior YTD Data Pull'!$A$1:$CB$1,0)),"")</f>
        <v>1730382751.8900001</v>
      </c>
      <c r="R10" s="38">
        <f>IFERROR(INDEX('Prior YTD Data Pull'!$A$2:$CB$605,MATCH('Prior YTD Data Table'!$C10,'Prior YTD Data Pull'!$A$2:$A$605,0),MATCH("Total Unrestricted Revenue Gains and Other Support",'Prior YTD Data Pull'!$A$1:$CB$1,0)),"")</f>
        <v>1961766350.4300001</v>
      </c>
      <c r="S10" s="38">
        <f>IFERROR(INDEX('Prior YTD TS Data Pull'!$J$2:$J$128,MATCH('Prior YTD Data Table'!$C10, 'Prior YTD TS Data Pull'!$A$2:$A$128,0))+INDEX('Prior YTD TS Data Pull'!$N$2:$N$128,MATCH('Prior YTD Data Table'!$C10,'Prior YTD TS Data Pull'!$A$2:$A$609,0))+INDEX('Prior YTD TS Data Pull'!$R$2:$R$128,MATCH('Prior YTD Data Table'!$C10,'Prior YTD TS Data Pull'!$A$2:$A$609,0)),"")</f>
        <v>1229296.8699999999</v>
      </c>
      <c r="T10" s="38">
        <f>IF(INDEX('Prior YTD TS Data Pull'!$A$1:$O$609,MATCH('Prior YTD Data Table'!$C10,'Prior YTD TS Data Pull'!$A$1:$A$609,0),MATCH("Temporary RN Staffing:
Line Reported on in Standardized Financials",'Prior YTD TS Data Pull'!$A$1:$O$1,0))="66.1: Salary and Benefit Expense",'Prior YTD Data Table'!$AV10-'Prior YTD Data Table'!$S10,0)</f>
        <v>585839455.04999995</v>
      </c>
      <c r="U10" s="38">
        <f>IFERROR(INDEX('Prior YTD Data Pull'!$A$2:$CB$605,MATCH('Prior YTD Data Table'!$C10,'Prior YTD Data Pull'!$A$2:$A$605,0),MATCH("Total Expenses Including Nonrecurring Gains Losses",'Prior YTD Data Pull'!$A$1:$CB$1,0)),"")</f>
        <v>1857124809.95</v>
      </c>
      <c r="V10" s="41">
        <f t="shared" si="7"/>
        <v>0</v>
      </c>
      <c r="W10" s="41">
        <f t="shared" si="8"/>
        <v>35.96150417044597</v>
      </c>
      <c r="X10" s="41">
        <f t="shared" si="0"/>
        <v>61.668389409056424</v>
      </c>
      <c r="Y10" s="37">
        <f t="shared" si="9"/>
        <v>0.36836328145780139</v>
      </c>
      <c r="Z10" s="41">
        <f t="shared" si="1"/>
        <v>11.721366243621642</v>
      </c>
      <c r="AA10" s="39">
        <f t="shared" si="10"/>
        <v>0.3807180014466291</v>
      </c>
      <c r="AB10" s="37">
        <f t="shared" si="11"/>
        <v>0.73138044029062454</v>
      </c>
      <c r="AC10" s="37">
        <f t="shared" si="12"/>
        <v>0.17297429107326628</v>
      </c>
      <c r="AD10" s="38">
        <f>IFERROR(INDEX('Prior YTD Data Pull'!$A$2:$CB$605,MATCH('Prior YTD Data Table'!$C10,'Prior YTD Data Pull'!$A$2:$A$605,0),MATCH("Net Patient Service Revenue",'Prior YTD Data Pull'!$A$1:$CB$1,0)),"")</f>
        <v>1465859861.23</v>
      </c>
      <c r="AE10" s="38">
        <f>IFERROR(INDEX('Prior YTD Data Pull'!$A$2:$CB$605,MATCH('Prior YTD Data Table'!$C10,'Prior YTD Data Pull'!$A$2:$A$605,0),MATCH("Total Current Assets",'Prior YTD Data Pull'!$A$1:$CB$1,0)),"")</f>
        <v>800909098.09800005</v>
      </c>
      <c r="AF10" s="38">
        <f>IFERROR(INDEX('Prior YTD Data Pull'!$A$2:$CB$605,MATCH('Prior YTD Data Table'!$C10,'Prior YTD Data Pull'!$A$2:$A$605,0),MATCH("Total Current Liabilities",'Prior YTD Data Pull'!$A$1:$CB$1,0)),"")</f>
        <v>655584981.56500006</v>
      </c>
      <c r="AG10" s="38">
        <f>IFERROR(INDEX('Prior YTD Data Pull'!$A$2:$CB$605,MATCH('Prior YTD Data Table'!$C10,'Prior YTD Data Pull'!$A$2:$A$605,0),MATCH("Total Non Operating Revenue",'Prior YTD Data Pull'!$A$1:$CB$1,0)),"")</f>
        <v>231383598.53999999</v>
      </c>
      <c r="AH10" s="38">
        <f>IFERROR(INDEX('Prior YTD Data Pull'!$A$2:$CB$605,MATCH('Prior YTD Data Table'!$C10,'Prior Year Data Pull'!$A$2:$A$593,0),MATCH("Less Accumulated Depreciation",'Prior YTD Data Pull'!$A$1:$CB$1,0)),"")</f>
        <v>0</v>
      </c>
      <c r="AI10" s="38">
        <f>IFERROR(INDEX('Prior YTD Data Pull'!$A$2:$CB$605,MATCH('Prior YTD Data Table'!$C10,'Prior YTD Data Pull'!$A$2:$A$605,0),MATCH("Depreciation and Amortization Expense",'Prior YTD Data Pull'!$A$1:$CB$1,0)),"")</f>
        <v>47943845.409999996</v>
      </c>
      <c r="AJ10" s="38">
        <f>IFERROR(INDEX('Prior YTD Data Pull'!$A$2:$CB$605,MATCH('Prior YTD Data Table'!$C10,'Prior YTD Data Pull'!$A$2:$A$605,0),MATCH("Net Patient Accounts Receivable",'Prior YTD Data Pull'!$A$1:$CB$1,0)),"")</f>
        <v>288057516.46399999</v>
      </c>
      <c r="AK10" s="14" t="str">
        <f>IF('Prior YTD Data Pull'!$H10 = 6, "183", IF('Prior YTD Data Pull'!$H10 = 3, "93",""))</f>
        <v>183</v>
      </c>
      <c r="AL10" s="38">
        <f>IFERROR(INDEX('Prior YTD Data Pull'!$A$2:$CB$605,MATCH('Prior YTD Data Table'!$C10,'Prior YTD Data Pull'!$A$2:$A$605,0),MATCH("Estimated Third Party Settlements",'Prior YTD Data Pull'!$A$1:$CB$1,0)),"")</f>
        <v>45916805.43</v>
      </c>
      <c r="AM10" s="38">
        <f>IFERROR(INDEX('Prior YTD Data Pull'!$A$2:$CB$605,MATCH('Prior YTD Data Table'!$C10,'Prior YTD Data Pull'!$A$2:$A$605,0),MATCH("Current Liabilities due to Affiliates",'Prior YTD Data Pull'!$A$1:$CB$1,0)),"")</f>
        <v>0</v>
      </c>
      <c r="AN10" s="38">
        <f>IFERROR(INDEX('Prior YTD Data Pull'!$A$2:$CB$605,MATCH('Prior YTD Data Table'!$C10,'Prior YTD Data Pull'!$A$2:$A$605,0),MATCH("Short Term Investments",'Prior YTD Data Pull'!$A$1:$CB$1,0)),"")</f>
        <v>0</v>
      </c>
      <c r="AO10" s="38">
        <f>IFERROR(INDEX('Prior YTD Data Pull'!$A$2:$CB$605,MATCH('Prior YTD Data Table'!$C10,'Prior YTD Data Pull'!$A$2:$A$605,0),MATCH("Cash and Cash Equivalents",'Prior YTD Data Pull'!$A$1:$CB$1,0)),"")</f>
        <v>115880178.61399999</v>
      </c>
      <c r="AP10" s="38">
        <f>IFERROR(INDEX('Prior YTD Data Pull'!$A$2:$CB$605,MATCH('Prior YTD Data Table'!$C10,'Prior YTD Data Pull'!$A$2:$A$605,0),MATCH("Interest Expense",'Prior YTD Data Pull'!$A$1:$CB$1,0)),"")</f>
        <v>8786666.1600000001</v>
      </c>
      <c r="AQ10" s="38">
        <f>IFERROR(INDEX('Prior YTD Data Pull'!$A$2:$CB$605,MATCH('Prior YTD Data Table'!$C10,'Prior YTD Data Pull'!$A$2:$A$605,0),MATCH("Long Term Debt Net of Current Portion",'Prior YTD Data Pull'!$A$1:$CB$1,0)),"")</f>
        <v>440432821.23000002</v>
      </c>
      <c r="AR10" s="38">
        <f>IFERROR(INDEX('Prior YTD Data Pull'!$A$2:$CB$605,MATCH('Prior YTD Data Table'!$C10,'Prior YTD Data Pull'!$A$2:$A$605,0),MATCH("Total Assets",'Prior YTD Data Pull'!$A$1:$CB$1,0)),"")</f>
        <v>5560768911.408</v>
      </c>
      <c r="AS10" s="38">
        <f>IFERROR(INDEX('Prior YTD Data Pull'!$A$2:$CB$605,MATCH('Prior YTD Data Table'!$C10,'Prior YTD Data Pull'!$A$2:$A$605,0),MATCH("Long Term Debt Net of Current Portion",'Prior YTD Data Pull'!$A$1:$CB$1,0)),"")</f>
        <v>440432821.23000002</v>
      </c>
      <c r="AT10" s="38">
        <f>IFERROR(INDEX('Prior YTD Data Pull'!$A$2:$CB$605,MATCH('Prior YTD Data Table'!$C10,'Prior YTD Data Pull'!$A$2:$A$605,0),MATCH("Net Unrestricted Assets",'Prior YTD Data Pull'!$A$1:$CB$1,0)),"")</f>
        <v>2105800023.5309999</v>
      </c>
      <c r="AU10" s="38">
        <f>IFERROR(INDEX('Prior YTD Data Pull'!$A$2:$CB$605,MATCH('Prior YTD Data Table'!$C10,'Prior YTD Data Pull'!$A$2:$A$605,0),MATCH("Unrealized Gains/Losses",'Prior YTD Data Pull'!$A$1:$CB$1,0)),"")</f>
        <v>-9653893.4000000004</v>
      </c>
      <c r="AV10" s="38">
        <f>IFERROR(INDEX('Prior YTD Data Pull'!$A$2:$CB$605,MATCH('Prior YTD Data Table'!$C10,'Prior YTD Data Pull'!$A$2:$A$605,0),MATCH("Salary and Benefit Expense",'Prior YTD Data Pull'!$A$1:$CB$1,0)),"")</f>
        <v>587068751.91999996</v>
      </c>
      <c r="AW10" s="38"/>
      <c r="AX10" s="38"/>
      <c r="AY10" s="38"/>
      <c r="AZ10" s="38"/>
    </row>
    <row r="11" spans="1:83" ht="34.200000000000003" x14ac:dyDescent="0.3">
      <c r="A11" s="14" t="str">
        <f>IFERROR(INDEX('Static Data Tab'!$N$2:$N$610,MATCH(D11,'Static Data Tab'!$D$2:$D$610,0)), "")</f>
        <v>Boston Medical Center Health System</v>
      </c>
      <c r="B11" s="14" t="s">
        <v>118</v>
      </c>
      <c r="C11" s="14">
        <v>3107</v>
      </c>
      <c r="D11" s="14">
        <v>14287</v>
      </c>
      <c r="E11" s="14" t="str">
        <f>IFERROR(INDEX('Prior YTD Data Pull'!$A$1:$CB$605,MATCH('Prior YTD Data Table'!$C11,'Prior YTD Data Pull'!$A$1:$A$605,0),MATCH("Organization Type",'Prior YTD Data Pull'!$A$1:$CB$1,0)),"")</f>
        <v>AcuteHospital</v>
      </c>
      <c r="F11" s="14" t="str">
        <f>IFERROR(INDEX('Static Data Tab'!$E$2:$E$610,MATCH('Prior YTD Data Table'!$C11,'Static Data Tab'!$B$2:$B$610,0)), "-")</f>
        <v>Academic Medical Center</v>
      </c>
      <c r="G11" s="46" t="str">
        <f>IFERROR(INDEX('Static Data Tab'!$J$2:$J$610,MATCH('Prior YTD Data Table'!$C11,'Static Data Tab'!$B$2:$B$610,0)), "")</f>
        <v>Metro Boston</v>
      </c>
      <c r="H11" s="14" t="str">
        <f>IFERROR(INDEX('Static Data Tab'!$F$2:$F$610,MATCH('Prior YTD Data Table'!$C11,'Static Data Tab'!$B$2:$B$610,0)), "")</f>
        <v>x</v>
      </c>
      <c r="I11" s="14" t="str">
        <f>IFERROR(INDEX('Static Data Tab'!$G$2:$G$610,MATCH('Prior YTD Data Table'!$C11,'Static Data Tab'!$B$2:$B$610,0)), "")</f>
        <v>x</v>
      </c>
      <c r="J11" s="14" t="str">
        <f>IFERROR(INDEX('Prior YTD Data Pull'!$A$2:$CB$605,MATCH('Prior YTD Data Table'!$C11,'Prior YTD Data Pull'!$A$2:$A$605,0),MATCH("Quarter Range",'Prior YTD Data Pull'!$A$1:$CB$1,0)),"")</f>
        <v xml:space="preserve">10/01/2024-03/31/2025
</v>
      </c>
      <c r="K11" s="37">
        <f t="shared" si="2"/>
        <v>-2.4671602528823361E-2</v>
      </c>
      <c r="L11" s="37">
        <f t="shared" si="3"/>
        <v>5.9726754131824832E-3</v>
      </c>
      <c r="M11" s="37">
        <f t="shared" si="4"/>
        <v>-1.8698927115640876E-2</v>
      </c>
      <c r="N11" s="38">
        <f t="shared" si="5"/>
        <v>-26810290</v>
      </c>
      <c r="O11" s="39">
        <f t="shared" si="6"/>
        <v>1.6201359387927035</v>
      </c>
      <c r="P11" s="38">
        <f>IFERROR(INDEX('Prior YTD Data Pull'!$A$2:$CB$605,MATCH('Prior YTD Data Table'!$C11,'Prior YTD Data Pull'!$A$2:$A$605,0),MATCH("Total Net Assets or Equity",'Prior YTD Data Pull'!$A$1:$CB$1,0)),"")</f>
        <v>1395732006</v>
      </c>
      <c r="Q11" s="38">
        <f>IFERROR(INDEX('Prior YTD Data Pull'!$A$2:$CB$605,MATCH('Prior YTD Data Table'!$C11,'Prior YTD Data Pull'!$A$2:$A$605,0),MATCH("Total Operating Revenue",'Prior YTD Data Pull'!$A$1:$CB$1,0)),"")</f>
        <v>1425224061</v>
      </c>
      <c r="R11" s="38">
        <f>IFERROR(INDEX('Prior YTD Data Pull'!$A$2:$CB$605,MATCH('Prior YTD Data Table'!$C11,'Prior YTD Data Pull'!$A$2:$A$605,0),MATCH("Total Unrestricted Revenue Gains and Other Support",'Prior YTD Data Pull'!$A$1:$CB$1,0)),"")</f>
        <v>1433787609</v>
      </c>
      <c r="S11" s="38">
        <f>IFERROR(INDEX('Prior YTD TS Data Pull'!$J$2:$J$128,MATCH('Prior YTD Data Table'!$C11, 'Prior YTD TS Data Pull'!$A$2:$A$128,0))+INDEX('Prior YTD TS Data Pull'!$N$2:$N$128,MATCH('Prior YTD Data Table'!$C11,'Prior YTD TS Data Pull'!$A$2:$A$609,0))+INDEX('Prior YTD TS Data Pull'!$R$2:$R$128,MATCH('Prior YTD Data Table'!$C11,'Prior YTD TS Data Pull'!$A$2:$A$609,0)),"")</f>
        <v>9883865</v>
      </c>
      <c r="T11" s="38">
        <f>IF(INDEX('Prior YTD TS Data Pull'!$A$1:$O$609,MATCH('Prior YTD Data Table'!$C11,'Prior YTD TS Data Pull'!$A$1:$A$609,0),MATCH("Temporary RN Staffing:
Line Reported on in Standardized Financials",'Prior YTD TS Data Pull'!$A$1:$O$1,0))="66.1: Salary and Benefit Expense",'Prior YTD Data Table'!$AV11-'Prior YTD Data Table'!$S11,0)</f>
        <v>473730923</v>
      </c>
      <c r="U11" s="38">
        <f>IFERROR(INDEX('Prior YTD Data Pull'!$A$2:$CB$605,MATCH('Prior YTD Data Table'!$C11,'Prior YTD Data Pull'!$A$2:$A$605,0),MATCH("Total Expenses Including Nonrecurring Gains Losses",'Prior YTD Data Pull'!$A$1:$CB$1,0)),"")</f>
        <v>1460597899</v>
      </c>
      <c r="V11" s="41">
        <f t="shared" si="7"/>
        <v>0</v>
      </c>
      <c r="W11" s="41">
        <f t="shared" si="8"/>
        <v>46.681461522633583</v>
      </c>
      <c r="X11" s="41">
        <f t="shared" si="0"/>
        <v>67.091677275339308</v>
      </c>
      <c r="Y11" s="37">
        <f t="shared" si="9"/>
        <v>3.3350128767375968E-2</v>
      </c>
      <c r="Z11" s="41">
        <f t="shared" si="1"/>
        <v>3.7466963451832687</v>
      </c>
      <c r="AA11" s="39">
        <f t="shared" si="10"/>
        <v>5.2159733522530172E-2</v>
      </c>
      <c r="AB11" s="37">
        <f t="shared" si="11"/>
        <v>0.46820045015295403</v>
      </c>
      <c r="AC11" s="37">
        <f t="shared" si="12"/>
        <v>0.47181550038665071</v>
      </c>
      <c r="AD11" s="38">
        <f>IFERROR(INDEX('Prior YTD Data Pull'!$A$2:$CB$605,MATCH('Prior YTD Data Table'!$C11,'Prior YTD Data Pull'!$A$2:$A$605,0),MATCH("Net Patient Service Revenue",'Prior YTD Data Pull'!$A$1:$CB$1,0)),"")</f>
        <v>835265313</v>
      </c>
      <c r="AE11" s="38">
        <f>IFERROR(INDEX('Prior YTD Data Pull'!$A$2:$CB$605,MATCH('Prior YTD Data Table'!$C11,'Prior YTD Data Pull'!$A$2:$A$605,0),MATCH("Total Current Assets",'Prior YTD Data Pull'!$A$1:$CB$1,0)),"")</f>
        <v>834021305</v>
      </c>
      <c r="AF11" s="38">
        <f>IFERROR(INDEX('Prior YTD Data Pull'!$A$2:$CB$605,MATCH('Prior YTD Data Table'!$C11,'Prior YTD Data Pull'!$A$2:$A$605,0),MATCH("Total Current Liabilities",'Prior YTD Data Pull'!$A$1:$CB$1,0)),"")</f>
        <v>514784769</v>
      </c>
      <c r="AG11" s="38">
        <f>IFERROR(INDEX('Prior YTD Data Pull'!$A$2:$CB$605,MATCH('Prior YTD Data Table'!$C11,'Prior YTD Data Pull'!$A$2:$A$605,0),MATCH("Total Non Operating Revenue",'Prior YTD Data Pull'!$A$1:$CB$1,0)),"")</f>
        <v>8563548</v>
      </c>
      <c r="AH11" s="38">
        <f>IFERROR(INDEX('Prior YTD Data Pull'!$A$2:$CB$605,MATCH('Prior YTD Data Table'!$C11,'Prior Year Data Pull'!$A$2:$A$593,0),MATCH("Less Accumulated Depreciation",'Prior YTD Data Pull'!$A$1:$CB$1,0)),"")</f>
        <v>0</v>
      </c>
      <c r="AI11" s="38">
        <f>IFERROR(INDEX('Prior YTD Data Pull'!$A$2:$CB$605,MATCH('Prior YTD Data Table'!$C11,'Prior YTD Data Pull'!$A$2:$A$605,0),MATCH("Depreciation and Amortization Expense",'Prior YTD Data Pull'!$A$1:$CB$1,0)),"")</f>
        <v>56465277</v>
      </c>
      <c r="AJ11" s="38">
        <f>IFERROR(INDEX('Prior YTD Data Pull'!$A$2:$CB$605,MATCH('Prior YTD Data Table'!$C11,'Prior YTD Data Pull'!$A$2:$A$605,0),MATCH("Net Patient Accounts Receivable",'Prior YTD Data Pull'!$A$1:$CB$1,0)),"")</f>
        <v>213067790</v>
      </c>
      <c r="AK11" s="14" t="str">
        <f>IF('Prior YTD Data Pull'!$H11 = 6, "183", IF('Prior YTD Data Pull'!$H11 = 3, "93",""))</f>
        <v>183</v>
      </c>
      <c r="AL11" s="38">
        <f>IFERROR(INDEX('Prior YTD Data Pull'!$A$2:$CB$605,MATCH('Prior YTD Data Table'!$C11,'Prior YTD Data Pull'!$A$2:$A$605,0),MATCH("Estimated Third Party Settlements",'Prior YTD Data Pull'!$A$1:$CB$1,0)),"")</f>
        <v>0</v>
      </c>
      <c r="AM11" s="38">
        <f>IFERROR(INDEX('Prior YTD Data Pull'!$A$2:$CB$605,MATCH('Prior YTD Data Table'!$C11,'Prior YTD Data Pull'!$A$2:$A$605,0),MATCH("Current Liabilities due to Affiliates",'Prior YTD Data Pull'!$A$1:$CB$1,0)),"")</f>
        <v>145079252</v>
      </c>
      <c r="AN11" s="38">
        <f>IFERROR(INDEX('Prior YTD Data Pull'!$A$2:$CB$605,MATCH('Prior YTD Data Table'!$C11,'Prior YTD Data Pull'!$A$2:$A$605,0),MATCH("Short Term Investments",'Prior YTD Data Pull'!$A$1:$CB$1,0)),"")</f>
        <v>0</v>
      </c>
      <c r="AO11" s="38">
        <f>IFERROR(INDEX('Prior YTD Data Pull'!$A$2:$CB$605,MATCH('Prior YTD Data Table'!$C11,'Prior YTD Data Pull'!$A$2:$A$605,0),MATCH("Cash and Cash Equivalents",'Prior YTD Data Pull'!$A$1:$CB$1,0)),"")</f>
        <v>28747861</v>
      </c>
      <c r="AP11" s="38">
        <f>IFERROR(INDEX('Prior YTD Data Pull'!$A$2:$CB$605,MATCH('Prior YTD Data Table'!$C11,'Prior YTD Data Pull'!$A$2:$A$605,0),MATCH("Interest Expense",'Prior YTD Data Pull'!$A$1:$CB$1,0)),"")</f>
        <v>12384284</v>
      </c>
      <c r="AQ11" s="38">
        <f>IFERROR(INDEX('Prior YTD Data Pull'!$A$2:$CB$605,MATCH('Prior YTD Data Table'!$C11,'Prior YTD Data Pull'!$A$2:$A$605,0),MATCH("Long Term Debt Net of Current Portion",'Prior YTD Data Pull'!$A$1:$CB$1,0)),"")</f>
        <v>881290968</v>
      </c>
      <c r="AR11" s="38">
        <f>IFERROR(INDEX('Prior YTD Data Pull'!$A$2:$CB$605,MATCH('Prior YTD Data Table'!$C11,'Prior YTD Data Pull'!$A$2:$A$605,0),MATCH("Total Assets",'Prior YTD Data Pull'!$A$1:$CB$1,0)),"")</f>
        <v>2981056523</v>
      </c>
      <c r="AS11" s="38">
        <f>IFERROR(INDEX('Prior YTD Data Pull'!$A$2:$CB$605,MATCH('Prior YTD Data Table'!$C11,'Prior YTD Data Pull'!$A$2:$A$605,0),MATCH("Long Term Debt Net of Current Portion",'Prior YTD Data Pull'!$A$1:$CB$1,0)),"")</f>
        <v>881290968</v>
      </c>
      <c r="AT11" s="38">
        <f>IFERROR(INDEX('Prior YTD Data Pull'!$A$2:$CB$605,MATCH('Prior YTD Data Table'!$C11,'Prior YTD Data Pull'!$A$2:$A$605,0),MATCH("Net Unrestricted Assets",'Prior YTD Data Pull'!$A$1:$CB$1,0)),"")</f>
        <v>986581044</v>
      </c>
      <c r="AU11" s="38">
        <f>IFERROR(INDEX('Prior YTD Data Pull'!$A$2:$CB$605,MATCH('Prior YTD Data Table'!$C11,'Prior YTD Data Pull'!$A$2:$A$605,0),MATCH("Unrealized Gains/Losses",'Prior YTD Data Pull'!$A$1:$CB$1,0)),"")</f>
        <v>-4574592</v>
      </c>
      <c r="AV11" s="38">
        <f>IFERROR(INDEX('Prior YTD Data Pull'!$A$2:$CB$605,MATCH('Prior YTD Data Table'!$C11,'Prior YTD Data Pull'!$A$2:$A$605,0),MATCH("Salary and Benefit Expense",'Prior YTD Data Pull'!$A$1:$CB$1,0)),"")</f>
        <v>483614788</v>
      </c>
      <c r="AW11" s="47"/>
      <c r="AX11" s="47"/>
      <c r="AY11" s="47"/>
      <c r="AZ11" s="47"/>
    </row>
    <row r="12" spans="1:83" ht="34.200000000000003" x14ac:dyDescent="0.3">
      <c r="A12" s="14" t="str">
        <f>IFERROR(INDEX('Static Data Tab'!$N$2:$N$610,MATCH(D12,'Static Data Tab'!$D$2:$D$610,0)), "")</f>
        <v>Heywood Healthcare</v>
      </c>
      <c r="B12" s="57" t="s">
        <v>136</v>
      </c>
      <c r="C12" s="57">
        <v>73</v>
      </c>
      <c r="D12" s="57">
        <v>12807</v>
      </c>
      <c r="E12" s="14" t="str">
        <f>IFERROR(INDEX('Prior YTD Data Pull'!$A$1:$CB$605,MATCH('Prior YTD Data Table'!$C12,'Prior YTD Data Pull'!$A$1:$A$605,0),MATCH("Organization Type",'Prior YTD Data Pull'!$A$1:$CB$1,0)),"")</f>
        <v>AcuteHospital</v>
      </c>
      <c r="F12" s="14" t="str">
        <f>IFERROR(INDEX('Static Data Tab'!$E$2:$E$610,MATCH('Prior YTD Data Table'!$C12,'Static Data Tab'!$B$2:$B$610,0)), "-")</f>
        <v>Community-High Public Payer Hospital</v>
      </c>
      <c r="G12" s="46" t="str">
        <f>IFERROR(INDEX('Static Data Tab'!$J$2:$J$610,MATCH('Prior YTD Data Table'!$C12,'Static Data Tab'!$B$2:$B$610,0)), "")</f>
        <v>Central Massachusetts</v>
      </c>
      <c r="H12" s="14" t="str">
        <f>IFERROR(INDEX('Static Data Tab'!$F$2:$F$610,MATCH('Prior YTD Data Table'!$C12,'Static Data Tab'!$B$2:$B$610,0)), "")</f>
        <v>x</v>
      </c>
      <c r="I12" s="14">
        <f>IFERROR(INDEX('Static Data Tab'!$G$2:$G$610,MATCH('Prior YTD Data Table'!$C12,'Static Data Tab'!$B$2:$B$610,0)), "")</f>
        <v>0</v>
      </c>
      <c r="J12" s="14" t="str">
        <f>IFERROR(INDEX('Prior YTD Data Pull'!$A$2:$CB$605,MATCH('Prior YTD Data Table'!$C12,'Prior YTD Data Pull'!$A$2:$A$605,0),MATCH("Quarter Range",'Prior YTD Data Pull'!$A$1:$CB$1,0)),"")</f>
        <v xml:space="preserve">10/01/2024-03/31/2025
</v>
      </c>
      <c r="K12" s="37">
        <f t="shared" si="2"/>
        <v>2.4173605010957924E-3</v>
      </c>
      <c r="L12" s="37">
        <f t="shared" si="3"/>
        <v>8.9074653295668899E-5</v>
      </c>
      <c r="M12" s="37">
        <f t="shared" si="4"/>
        <v>2.5064351543914614E-3</v>
      </c>
      <c r="N12" s="38">
        <f t="shared" si="5"/>
        <v>245875</v>
      </c>
      <c r="O12" s="39">
        <f t="shared" si="6"/>
        <v>0.78124883479047158</v>
      </c>
      <c r="P12" s="38">
        <f>IFERROR(INDEX('Prior YTD Data Pull'!$A$2:$CB$605,MATCH('Prior YTD Data Table'!$C12,'Prior YTD Data Pull'!$A$2:$A$605,0),MATCH("Total Net Assets or Equity",'Prior YTD Data Pull'!$A$1:$CB$1,0)),"")</f>
        <v>-19883134</v>
      </c>
      <c r="Q12" s="38">
        <f>IFERROR(INDEX('Prior YTD Data Pull'!$A$2:$CB$605,MATCH('Prior YTD Data Table'!$C12,'Prior YTD Data Pull'!$A$2:$A$605,0),MATCH("Total Operating Revenue",'Prior YTD Data Pull'!$A$1:$CB$1,0)),"")</f>
        <v>98088753</v>
      </c>
      <c r="R12" s="38">
        <f>IFERROR(INDEX('Prior YTD Data Pull'!$A$2:$CB$605,MATCH('Prior YTD Data Table'!$C12,'Prior YTD Data Pull'!$A$2:$A$605,0),MATCH("Total Unrestricted Revenue Gains and Other Support",'Prior YTD Data Pull'!$A$1:$CB$1,0)),"")</f>
        <v>98097491</v>
      </c>
      <c r="S12" s="38">
        <f>IFERROR(INDEX('Prior YTD TS Data Pull'!$J$2:$J$128,MATCH('Prior YTD Data Table'!$C12, 'Prior YTD TS Data Pull'!$A$2:$A$128,0))+INDEX('Prior YTD TS Data Pull'!$N$2:$N$128,MATCH('Prior YTD Data Table'!$C12,'Prior YTD TS Data Pull'!$A$2:$A$609,0))+INDEX('Prior YTD TS Data Pull'!$R$2:$R$128,MATCH('Prior YTD Data Table'!$C12,'Prior YTD TS Data Pull'!$A$2:$A$609,0)),"")</f>
        <v>214866.75</v>
      </c>
      <c r="T12" s="38">
        <f>IF(INDEX('Prior YTD TS Data Pull'!$A$1:$O$609,MATCH('Prior YTD Data Table'!$C12,'Prior YTD TS Data Pull'!$A$1:$A$609,0),MATCH("Temporary RN Staffing:
Line Reported on in Standardized Financials",'Prior YTD TS Data Pull'!$A$1:$O$1,0))="66.1: Salary and Benefit Expense",'Prior YTD Data Table'!$AV12-'Prior YTD Data Table'!$S12,0)</f>
        <v>0</v>
      </c>
      <c r="U12" s="38">
        <f>IFERROR(INDEX('Prior YTD Data Pull'!$A$2:$CB$605,MATCH('Prior YTD Data Table'!$C12,'Prior YTD Data Pull'!$A$2:$A$605,0),MATCH("Total Expenses Including Nonrecurring Gains Losses",'Prior YTD Data Pull'!$A$1:$CB$1,0)),"")</f>
        <v>97851616</v>
      </c>
      <c r="V12" s="41">
        <f t="shared" si="7"/>
        <v>581.20007602898681</v>
      </c>
      <c r="W12" s="41">
        <f t="shared" si="8"/>
        <v>44.443375320633429</v>
      </c>
      <c r="X12" s="41">
        <f t="shared" si="0"/>
        <v>70.645264761958458</v>
      </c>
      <c r="Y12" s="37">
        <f t="shared" si="9"/>
        <v>5.3524946638692561E-2</v>
      </c>
      <c r="Z12" s="41">
        <f t="shared" si="1"/>
        <v>8.0912658803120063</v>
      </c>
      <c r="AA12" s="39">
        <f t="shared" si="10"/>
        <v>6.3498844787716099E-2</v>
      </c>
      <c r="AB12" s="37">
        <f t="shared" si="11"/>
        <v>-0.1948372924080112</v>
      </c>
      <c r="AC12" s="37">
        <f t="shared" si="12"/>
        <v>1.9739509383323428</v>
      </c>
      <c r="AD12" s="38">
        <f>IFERROR(INDEX('Prior YTD Data Pull'!$A$2:$CB$605,MATCH('Prior YTD Data Table'!$C12,'Prior YTD Data Pull'!$A$2:$A$605,0),MATCH("Net Patient Service Revenue",'Prior YTD Data Pull'!$A$1:$CB$1,0)),"")</f>
        <v>84365034</v>
      </c>
      <c r="AE12" s="38">
        <f>IFERROR(INDEX('Prior YTD Data Pull'!$A$2:$CB$605,MATCH('Prior YTD Data Table'!$C12,'Prior YTD Data Pull'!$A$2:$A$605,0),MATCH("Total Current Assets",'Prior YTD Data Pull'!$A$1:$CB$1,0)),"")</f>
        <v>29417278</v>
      </c>
      <c r="AF12" s="38">
        <f>IFERROR(INDEX('Prior YTD Data Pull'!$A$2:$CB$605,MATCH('Prior YTD Data Table'!$C12,'Prior YTD Data Pull'!$A$2:$A$605,0),MATCH("Total Current Liabilities",'Prior YTD Data Pull'!$A$1:$CB$1,0)),"")</f>
        <v>37654172</v>
      </c>
      <c r="AG12" s="38">
        <f>IFERROR(INDEX('Prior YTD Data Pull'!$A$2:$CB$605,MATCH('Prior YTD Data Table'!$C12,'Prior YTD Data Pull'!$A$2:$A$605,0),MATCH("Total Non Operating Revenue",'Prior YTD Data Pull'!$A$1:$CB$1,0)),"")</f>
        <v>8738</v>
      </c>
      <c r="AH12" s="38">
        <f>IFERROR(INDEX('Prior YTD Data Pull'!$A$2:$CB$605,MATCH('Prior YTD Data Table'!$C12,'Prior Year Data Pull'!$A$2:$A$593,0),MATCH("Less Accumulated Depreciation",'Prior YTD Data Pull'!$A$1:$CB$1,0)),"")</f>
        <v>1455504000</v>
      </c>
      <c r="AI12" s="38">
        <f>IFERROR(INDEX('Prior YTD Data Pull'!$A$2:$CB$605,MATCH('Prior YTD Data Table'!$C12,'Prior YTD Data Pull'!$A$2:$A$605,0),MATCH("Depreciation and Amortization Expense",'Prior YTD Data Pull'!$A$1:$CB$1,0)),"")</f>
        <v>2504308</v>
      </c>
      <c r="AJ12" s="38">
        <f>IFERROR(INDEX('Prior YTD Data Pull'!$A$2:$CB$605,MATCH('Prior YTD Data Table'!$C12,'Prior YTD Data Pull'!$A$2:$A$605,0),MATCH("Net Patient Accounts Receivable",'Prior YTD Data Pull'!$A$1:$CB$1,0)),"")</f>
        <v>20488890</v>
      </c>
      <c r="AK12" s="14" t="str">
        <f>IF('Prior YTD Data Pull'!$H12 = 6, "183", IF('Prior YTD Data Pull'!$H12 = 3, "93",""))</f>
        <v>183</v>
      </c>
      <c r="AL12" s="38">
        <f>IFERROR(INDEX('Prior YTD Data Pull'!$A$2:$CB$605,MATCH('Prior YTD Data Table'!$C12,'Prior YTD Data Pull'!$A$2:$A$605,0),MATCH("Estimated Third Party Settlements",'Prior YTD Data Pull'!$A$1:$CB$1,0)),"")</f>
        <v>846326</v>
      </c>
      <c r="AM12" s="38">
        <f>IFERROR(INDEX('Prior YTD Data Pull'!$A$2:$CB$605,MATCH('Prior YTD Data Table'!$C12,'Prior YTD Data Pull'!$A$2:$A$605,0),MATCH("Current Liabilities due to Affiliates",'Prior YTD Data Pull'!$A$1:$CB$1,0)),"")</f>
        <v>0</v>
      </c>
      <c r="AN12" s="38">
        <f>IFERROR(INDEX('Prior YTD Data Pull'!$A$2:$CB$605,MATCH('Prior YTD Data Table'!$C12,'Prior YTD Data Pull'!$A$2:$A$605,0),MATCH("Short Term Investments",'Prior YTD Data Pull'!$A$1:$CB$1,0)),"")</f>
        <v>0</v>
      </c>
      <c r="AO12" s="38">
        <f>IFERROR(INDEX('Prior YTD Data Pull'!$A$2:$CB$605,MATCH('Prior YTD Data Table'!$C12,'Prior YTD Data Pull'!$A$2:$A$605,0),MATCH("Cash and Cash Equivalents",'Prior YTD Data Pull'!$A$1:$CB$1,0)),"")</f>
        <v>4215740</v>
      </c>
      <c r="AP12" s="38">
        <f>IFERROR(INDEX('Prior YTD Data Pull'!$A$2:$CB$605,MATCH('Prior YTD Data Table'!$C12,'Prior YTD Data Pull'!$A$2:$A$605,0),MATCH("Interest Expense",'Prior YTD Data Pull'!$A$1:$CB$1,0)),"")</f>
        <v>547220</v>
      </c>
      <c r="AQ12" s="38">
        <f>IFERROR(INDEX('Prior YTD Data Pull'!$A$2:$CB$605,MATCH('Prior YTD Data Table'!$C12,'Prior YTD Data Pull'!$A$2:$A$605,0),MATCH("Long Term Debt Net of Current Portion",'Prior YTD Data Pull'!$A$1:$CB$1,0)),"")</f>
        <v>51381331</v>
      </c>
      <c r="AR12" s="38">
        <f>IFERROR(INDEX('Prior YTD Data Pull'!$A$2:$CB$605,MATCH('Prior YTD Data Table'!$C12,'Prior YTD Data Pull'!$A$2:$A$605,0),MATCH("Total Assets",'Prior YTD Data Pull'!$A$1:$CB$1,0)),"")</f>
        <v>102049940</v>
      </c>
      <c r="AS12" s="38">
        <f>IFERROR(INDEX('Prior YTD Data Pull'!$A$2:$CB$605,MATCH('Prior YTD Data Table'!$C12,'Prior YTD Data Pull'!$A$2:$A$605,0),MATCH("Long Term Debt Net of Current Portion",'Prior YTD Data Pull'!$A$1:$CB$1,0)),"")</f>
        <v>51381331</v>
      </c>
      <c r="AT12" s="38">
        <f>IFERROR(INDEX('Prior YTD Data Pull'!$A$2:$CB$605,MATCH('Prior YTD Data Table'!$C12,'Prior YTD Data Pull'!$A$2:$A$605,0),MATCH("Net Unrestricted Assets",'Prior YTD Data Pull'!$A$1:$CB$1,0)),"")</f>
        <v>-25351641</v>
      </c>
      <c r="AU12" s="38">
        <f>IFERROR(INDEX('Prior YTD Data Pull'!$A$2:$CB$605,MATCH('Prior YTD Data Table'!$C12,'Prior YTD Data Pull'!$A$2:$A$605,0),MATCH("Unrealized Gains/Losses",'Prior YTD Data Pull'!$A$1:$CB$1,0)),"")</f>
        <v>0</v>
      </c>
      <c r="AV12" s="38">
        <f>IFERROR(INDEX('Prior YTD Data Pull'!$A$2:$CB$605,MATCH('Prior YTD Data Table'!$C12,'Prior YTD Data Pull'!$A$2:$A$605,0),MATCH("Salary and Benefit Expense",'Prior YTD Data Pull'!$A$1:$CB$1,0)),"")</f>
        <v>45210475</v>
      </c>
      <c r="AW12" s="38"/>
      <c r="AX12" s="38"/>
      <c r="AY12" s="38"/>
      <c r="AZ12" s="38"/>
    </row>
    <row r="13" spans="1:83" ht="34.200000000000003" x14ac:dyDescent="0.3">
      <c r="A13" s="14" t="str">
        <f>IFERROR(INDEX('Static Data Tab'!$N$2:$N$610,MATCH(D13,'Static Data Tab'!$D$2:$D$610,0)), "")</f>
        <v>Tenet Healthcare</v>
      </c>
      <c r="B13" s="14" t="s">
        <v>508</v>
      </c>
      <c r="C13" s="14">
        <v>3110</v>
      </c>
      <c r="D13" s="14">
        <v>3888</v>
      </c>
      <c r="E13" s="14" t="str">
        <f>IFERROR(INDEX('Prior YTD Data Pull'!$A$1:$CB$605,MATCH('Prior YTD Data Table'!$C13,'Prior YTD Data Pull'!$A$1:$A$605,0),MATCH("Organization Type",'Prior YTD Data Pull'!$A$1:$CB$1,0)),"")</f>
        <v>AcuteHospital</v>
      </c>
      <c r="F13" s="14" t="str">
        <f>IFERROR(INDEX('Static Data Tab'!$E$2:$E$610,MATCH('Prior YTD Data Table'!$C13,'Static Data Tab'!$B$2:$B$610,0)), "-")</f>
        <v>Community-High Public Payer Hospital</v>
      </c>
      <c r="G13" s="46" t="str">
        <f>IFERROR(INDEX('Static Data Tab'!$J$2:$J$610,MATCH('Prior YTD Data Table'!$C13,'Static Data Tab'!$B$2:$B$610,0)), "")</f>
        <v>Metro West</v>
      </c>
      <c r="H13" s="14" t="str">
        <f>IFERROR(INDEX('Static Data Tab'!$F$2:$F$610,MATCH('Prior YTD Data Table'!$C13,'Static Data Tab'!$B$2:$B$610,0)), "")</f>
        <v>x</v>
      </c>
      <c r="I13" s="14">
        <f>IFERROR(INDEX('Static Data Tab'!$G$2:$G$610,MATCH('Prior YTD Data Table'!$C13,'Static Data Tab'!$B$2:$B$610,0)), "")</f>
        <v>0</v>
      </c>
      <c r="J13" s="14" t="str">
        <f>IFERROR(INDEX('Prior YTD Data Pull'!$A$2:$CB$605,MATCH('Prior YTD Data Table'!$C13,'Prior YTD Data Pull'!$A$2:$A$605,0),MATCH("Quarter Range",'Prior YTD Data Pull'!$A$1:$CB$1,0)),"")</f>
        <v xml:space="preserve">01/01/2025-03/31/2025
</v>
      </c>
      <c r="K13" s="37">
        <f t="shared" si="2"/>
        <v>-7.8587079709044286E-2</v>
      </c>
      <c r="L13" s="37">
        <f t="shared" si="3"/>
        <v>4.5714529548951588E-3</v>
      </c>
      <c r="M13" s="37">
        <f t="shared" si="4"/>
        <v>-7.4015626754149133E-2</v>
      </c>
      <c r="N13" s="38">
        <f t="shared" si="5"/>
        <v>-3642581</v>
      </c>
      <c r="O13" s="39">
        <f t="shared" si="6"/>
        <v>1.5234782293969962</v>
      </c>
      <c r="P13" s="38">
        <f>IFERROR(INDEX('Prior YTD Data Pull'!$A$2:$CB$605,MATCH('Prior YTD Data Table'!$C13,'Prior YTD Data Pull'!$A$2:$A$605,0),MATCH("Total Net Assets or Equity",'Prior YTD Data Pull'!$A$1:$CB$1,0)),"")</f>
        <v>-139779693</v>
      </c>
      <c r="Q13" s="38">
        <f>IFERROR(INDEX('Prior YTD Data Pull'!$A$2:$CB$605,MATCH('Prior YTD Data Table'!$C13,'Prior YTD Data Pull'!$A$2:$A$605,0),MATCH("Total Operating Revenue",'Prior YTD Data Pull'!$A$1:$CB$1,0)),"")</f>
        <v>48988697</v>
      </c>
      <c r="R13" s="38">
        <f>IFERROR(INDEX('Prior YTD Data Pull'!$A$2:$CB$605,MATCH('Prior YTD Data Table'!$C13,'Prior YTD Data Pull'!$A$2:$A$605,0),MATCH("Total Unrestricted Revenue Gains and Other Support",'Prior YTD Data Pull'!$A$1:$CB$1,0)),"")</f>
        <v>49213675</v>
      </c>
      <c r="S13" s="38" t="str">
        <f>IFERROR(INDEX('Prior YTD TS Data Pull'!$J$2:$J$128,MATCH('Prior YTD Data Table'!$C13, 'Prior YTD TS Data Pull'!$A$2:$A$128,0))+INDEX('Prior YTD TS Data Pull'!$N$2:$N$128,MATCH('Prior YTD Data Table'!$C13,'Prior YTD TS Data Pull'!$A$2:$A$609,0))+INDEX('Prior YTD TS Data Pull'!$R$2:$R$128,MATCH('Prior YTD Data Table'!$C13,'Prior YTD TS Data Pull'!$A$2:$A$609,0)),"")</f>
        <v/>
      </c>
      <c r="T13" s="38" t="e">
        <f>IF(INDEX('Prior YTD TS Data Pull'!$A$1:$O$609,MATCH('Prior YTD Data Table'!$C13,'Prior YTD TS Data Pull'!$A$1:$A$609,0),MATCH("Temporary RN Staffing:
Line Reported on in Standardized Financials",'Prior YTD TS Data Pull'!$A$1:$O$1,0))="66.1: Salary and Benefit Expense",'Prior YTD Data Table'!$AV13-'Prior YTD Data Table'!$S13,0)</f>
        <v>#N/A</v>
      </c>
      <c r="U13" s="38">
        <f>IFERROR(INDEX('Prior YTD Data Pull'!$A$2:$CB$605,MATCH('Prior YTD Data Table'!$C13,'Prior YTD Data Pull'!$A$2:$A$605,0),MATCH("Total Expenses Including Nonrecurring Gains Losses",'Prior YTD Data Pull'!$A$1:$CB$1,0)),"")</f>
        <v>52856256</v>
      </c>
      <c r="V13" s="41" t="str">
        <f t="shared" si="7"/>
        <v/>
      </c>
      <c r="W13" s="41">
        <f t="shared" si="8"/>
        <v>124.31042946057852</v>
      </c>
      <c r="X13" s="41">
        <f t="shared" si="0"/>
        <v>225.91027646159057</v>
      </c>
      <c r="Y13" s="37" t="str">
        <f t="shared" si="9"/>
        <v/>
      </c>
      <c r="Z13" s="41">
        <f t="shared" si="1"/>
        <v>11.869677715522075</v>
      </c>
      <c r="AA13" s="39">
        <f t="shared" si="10"/>
        <v>-0.95424637730846595</v>
      </c>
      <c r="AB13" s="37">
        <f t="shared" si="11"/>
        <v>-0.47496907316935028</v>
      </c>
      <c r="AC13" s="37">
        <f t="shared" si="12"/>
        <v>0</v>
      </c>
      <c r="AD13" s="38">
        <f>IFERROR(INDEX('Prior YTD Data Pull'!$A$2:$CB$605,MATCH('Prior YTD Data Table'!$C13,'Prior YTD Data Pull'!$A$2:$A$605,0),MATCH("Net Patient Service Revenue",'Prior YTD Data Pull'!$A$1:$CB$1,0)),"")</f>
        <v>48305528</v>
      </c>
      <c r="AE13" s="38">
        <f>IFERROR(INDEX('Prior YTD Data Pull'!$A$2:$CB$605,MATCH('Prior YTD Data Table'!$C13,'Prior YTD Data Pull'!$A$2:$A$605,0),MATCH("Total Current Assets",'Prior YTD Data Pull'!$A$1:$CB$1,0)),"")</f>
        <v>95129378</v>
      </c>
      <c r="AF13" s="38">
        <f>IFERROR(INDEX('Prior YTD Data Pull'!$A$2:$CB$605,MATCH('Prior YTD Data Table'!$C13,'Prior YTD Data Pull'!$A$2:$A$605,0),MATCH("Total Current Liabilities",'Prior YTD Data Pull'!$A$1:$CB$1,0)),"")</f>
        <v>62442230</v>
      </c>
      <c r="AG13" s="38">
        <f>IFERROR(INDEX('Prior YTD Data Pull'!$A$2:$CB$605,MATCH('Prior YTD Data Table'!$C13,'Prior YTD Data Pull'!$A$2:$A$605,0),MATCH("Total Non Operating Revenue",'Prior YTD Data Pull'!$A$1:$CB$1,0)),"")</f>
        <v>224978</v>
      </c>
      <c r="AH13" s="38" t="str">
        <f>IFERROR(INDEX('Prior YTD Data Pull'!$A$2:$CB$605,MATCH('Prior YTD Data Table'!$C13,'Prior Year Data Pull'!$A$2:$A$593,0),MATCH("Less Accumulated Depreciation",'Prior YTD Data Pull'!$A$1:$CB$1,0)),"")</f>
        <v/>
      </c>
      <c r="AI13" s="38">
        <f>IFERROR(INDEX('Prior YTD Data Pull'!$A$2:$CB$605,MATCH('Prior YTD Data Table'!$C13,'Prior YTD Data Pull'!$A$2:$A$605,0),MATCH("Depreciation and Amortization Expense",'Prior YTD Data Pull'!$A$1:$CB$1,0)),"")</f>
        <v>2274546</v>
      </c>
      <c r="AJ13" s="38">
        <f>IFERROR(INDEX('Prior YTD Data Pull'!$A$2:$CB$605,MATCH('Prior YTD Data Table'!$C13,'Prior YTD Data Pull'!$A$2:$A$605,0),MATCH("Net Patient Accounts Receivable",'Prior YTD Data Pull'!$A$1:$CB$1,0)),"")</f>
        <v>32813557</v>
      </c>
      <c r="AK13" s="14" t="str">
        <f>IF('Prior YTD Data Pull'!$H13 = 6, "183", IF('Prior YTD Data Pull'!$H13 = 3, "93",""))</f>
        <v>183</v>
      </c>
      <c r="AL13" s="38">
        <f>IFERROR(INDEX('Prior YTD Data Pull'!$A$2:$CB$605,MATCH('Prior YTD Data Table'!$C13,'Prior YTD Data Pull'!$A$2:$A$605,0),MATCH("Estimated Third Party Settlements",'Prior YTD Data Pull'!$A$1:$CB$1,0)),"")</f>
        <v>0</v>
      </c>
      <c r="AM13" s="38">
        <f>IFERROR(INDEX('Prior YTD Data Pull'!$A$2:$CB$605,MATCH('Prior YTD Data Table'!$C13,'Prior YTD Data Pull'!$A$2:$A$605,0),MATCH("Current Liabilities due to Affiliates",'Prior YTD Data Pull'!$A$1:$CB$1,0)),"")</f>
        <v>0</v>
      </c>
      <c r="AN13" s="38">
        <f>IFERROR(INDEX('Prior YTD Data Pull'!$A$2:$CB$605,MATCH('Prior YTD Data Table'!$C13,'Prior YTD Data Pull'!$A$2:$A$605,0),MATCH("Short Term Investments",'Prior YTD Data Pull'!$A$1:$CB$1,0)),"")</f>
        <v>0</v>
      </c>
      <c r="AO13" s="38">
        <f>IFERROR(INDEX('Prior YTD Data Pull'!$A$2:$CB$605,MATCH('Prior YTD Data Table'!$C13,'Prior YTD Data Pull'!$A$2:$A$605,0),MATCH("Cash and Cash Equivalents",'Prior YTD Data Pull'!$A$1:$CB$1,0)),"")</f>
        <v>3280812</v>
      </c>
      <c r="AP13" s="38">
        <f>IFERROR(INDEX('Prior YTD Data Pull'!$A$2:$CB$605,MATCH('Prior YTD Data Table'!$C13,'Prior YTD Data Pull'!$A$2:$A$605,0),MATCH("Interest Expense",'Prior YTD Data Pull'!$A$1:$CB$1,0)),"")</f>
        <v>700032</v>
      </c>
      <c r="AQ13" s="38">
        <f>IFERROR(INDEX('Prior YTD Data Pull'!$A$2:$CB$605,MATCH('Prior YTD Data Table'!$C13,'Prior YTD Data Pull'!$A$2:$A$605,0),MATCH("Long Term Debt Net of Current Portion",'Prior YTD Data Pull'!$A$1:$CB$1,0)),"")</f>
        <v>0</v>
      </c>
      <c r="AR13" s="38">
        <f>IFERROR(INDEX('Prior YTD Data Pull'!$A$2:$CB$605,MATCH('Prior YTD Data Table'!$C13,'Prior YTD Data Pull'!$A$2:$A$605,0),MATCH("Total Assets",'Prior YTD Data Pull'!$A$1:$CB$1,0)),"")</f>
        <v>294292199</v>
      </c>
      <c r="AS13" s="38">
        <f>IFERROR(INDEX('Prior YTD Data Pull'!$A$2:$CB$605,MATCH('Prior YTD Data Table'!$C13,'Prior YTD Data Pull'!$A$2:$A$605,0),MATCH("Long Term Debt Net of Current Portion",'Prior YTD Data Pull'!$A$1:$CB$1,0)),"")</f>
        <v>0</v>
      </c>
      <c r="AT13" s="38">
        <f>IFERROR(INDEX('Prior YTD Data Pull'!$A$2:$CB$605,MATCH('Prior YTD Data Table'!$C13,'Prior YTD Data Pull'!$A$2:$A$605,0),MATCH("Net Unrestricted Assets",'Prior YTD Data Pull'!$A$1:$CB$1,0)),"")</f>
        <v>-139779693</v>
      </c>
      <c r="AU13" s="38">
        <f>IFERROR(INDEX('Prior YTD Data Pull'!$A$2:$CB$605,MATCH('Prior YTD Data Table'!$C13,'Prior YTD Data Pull'!$A$2:$A$605,0),MATCH("Unrealized Gains/Losses",'Prior YTD Data Pull'!$A$1:$CB$1,0)),"")</f>
        <v>0</v>
      </c>
      <c r="AV13" s="38">
        <f>IFERROR(INDEX('Prior YTD Data Pull'!$A$2:$CB$605,MATCH('Prior YTD Data Table'!$C13,'Prior YTD Data Pull'!$A$2:$A$605,0),MATCH("Salary and Benefit Expense",'Prior YTD Data Pull'!$A$1:$CB$1,0)),"")</f>
        <v>26500493</v>
      </c>
      <c r="AW13" s="47"/>
      <c r="AX13" s="47"/>
      <c r="AY13" s="47"/>
      <c r="AZ13" s="47"/>
    </row>
    <row r="14" spans="1:83" ht="34.200000000000003" x14ac:dyDescent="0.3">
      <c r="A14" s="14" t="str">
        <f>IFERROR(INDEX('Static Data Tab'!$N$2:$N$610,MATCH(D14,'Static Data Tab'!$D$2:$D$610,0)), "")</f>
        <v>Lawrence General Hospital and Affiliates</v>
      </c>
      <c r="B14" s="57" t="s">
        <v>139</v>
      </c>
      <c r="C14" s="57">
        <v>83</v>
      </c>
      <c r="D14" s="57">
        <v>13156</v>
      </c>
      <c r="E14" s="14" t="str">
        <f>IFERROR(INDEX('Prior YTD Data Pull'!$A$1:$CB$605,MATCH('Prior YTD Data Table'!$C14,'Prior YTD Data Pull'!$A$1:$A$605,0),MATCH("Organization Type",'Prior YTD Data Pull'!$A$1:$CB$1,0)),"")</f>
        <v>AcuteHospital</v>
      </c>
      <c r="F14" s="14" t="str">
        <f>IFERROR(INDEX('Static Data Tab'!$E$2:$E$610,MATCH('Prior YTD Data Table'!$C14,'Static Data Tab'!$B$2:$B$610,0)), "-")</f>
        <v>Community-High Public Payer Hospital</v>
      </c>
      <c r="G14" s="46" t="str">
        <f>IFERROR(INDEX('Static Data Tab'!$J$2:$J$610,MATCH('Prior YTD Data Table'!$C14,'Static Data Tab'!$B$2:$B$610,0)), "")</f>
        <v>Northeastern Massachusetts</v>
      </c>
      <c r="H14" s="14" t="str">
        <f>IFERROR(INDEX('Static Data Tab'!$F$2:$F$610,MATCH('Prior YTD Data Table'!$C14,'Static Data Tab'!$B$2:$B$610,0)), "")</f>
        <v>x</v>
      </c>
      <c r="I14" s="14">
        <f>IFERROR(INDEX('Static Data Tab'!$G$2:$G$610,MATCH('Prior YTD Data Table'!$C14,'Static Data Tab'!$B$2:$B$610,0)), "")</f>
        <v>0</v>
      </c>
      <c r="J14" s="14" t="str">
        <f>IFERROR(INDEX('Prior YTD Data Pull'!$A$2:$CB$605,MATCH('Prior YTD Data Table'!$C14,'Prior YTD Data Pull'!$A$2:$A$605,0),MATCH("Quarter Range",'Prior YTD Data Pull'!$A$1:$CB$1,0)),"")</f>
        <v xml:space="preserve">10/01/2024-03/31/2025
</v>
      </c>
      <c r="K14" s="37">
        <f t="shared" si="2"/>
        <v>-4.8278883176169504E-2</v>
      </c>
      <c r="L14" s="37">
        <f t="shared" si="3"/>
        <v>9.3030226177575909E-3</v>
      </c>
      <c r="M14" s="37">
        <f t="shared" si="4"/>
        <v>-3.8975860558411915E-2</v>
      </c>
      <c r="N14" s="38">
        <f t="shared" si="5"/>
        <v>-6762000</v>
      </c>
      <c r="O14" s="39">
        <f t="shared" si="6"/>
        <v>0.9943812122159057</v>
      </c>
      <c r="P14" s="38">
        <f>IFERROR(INDEX('Prior YTD Data Pull'!$A$2:$CB$605,MATCH('Prior YTD Data Table'!$C14,'Prior YTD Data Pull'!$A$2:$A$605,0),MATCH("Total Net Assets or Equity",'Prior YTD Data Pull'!$A$1:$CB$1,0)),"")</f>
        <v>21891000</v>
      </c>
      <c r="Q14" s="38">
        <f>IFERROR(INDEX('Prior YTD Data Pull'!$A$2:$CB$605,MATCH('Prior YTD Data Table'!$C14,'Prior YTD Data Pull'!$A$2:$A$605,0),MATCH("Total Operating Revenue",'Prior YTD Data Pull'!$A$1:$CB$1,0)),"")</f>
        <v>171878000</v>
      </c>
      <c r="R14" s="38">
        <f>IFERROR(INDEX('Prior YTD Data Pull'!$A$2:$CB$605,MATCH('Prior YTD Data Table'!$C14,'Prior YTD Data Pull'!$A$2:$A$605,0),MATCH("Total Unrestricted Revenue Gains and Other Support",'Prior YTD Data Pull'!$A$1:$CB$1,0)),"")</f>
        <v>173492000</v>
      </c>
      <c r="S14" s="38" t="str">
        <f>IFERROR(INDEX('Prior YTD TS Data Pull'!$J$2:$J$128,MATCH('Prior YTD Data Table'!$C14, 'Prior YTD TS Data Pull'!$A$2:$A$128,0))+INDEX('Prior YTD TS Data Pull'!$N$2:$N$128,MATCH('Prior YTD Data Table'!$C14,'Prior YTD TS Data Pull'!$A$2:$A$609,0))+INDEX('Prior YTD TS Data Pull'!$R$2:$R$128,MATCH('Prior YTD Data Table'!$C14,'Prior YTD TS Data Pull'!$A$2:$A$609,0)),"")</f>
        <v/>
      </c>
      <c r="T14" s="38" t="e">
        <f>IF(INDEX('Prior YTD TS Data Pull'!$A$1:$O$609,MATCH('Prior YTD Data Table'!$C14,'Prior YTD TS Data Pull'!$A$1:$A$609,0),MATCH("Temporary RN Staffing:
Line Reported on in Standardized Financials",'Prior YTD TS Data Pull'!$A$1:$O$1,0))="66.1: Salary and Benefit Expense",'Prior YTD Data Table'!$AV14-'Prior YTD Data Table'!$S14,0)</f>
        <v>#N/A</v>
      </c>
      <c r="U14" s="38">
        <f>IFERROR(INDEX('Prior YTD Data Pull'!$A$2:$CB$605,MATCH('Prior YTD Data Table'!$C14,'Prior YTD Data Pull'!$A$2:$A$605,0),MATCH("Total Expenses Including Nonrecurring Gains Losses",'Prior YTD Data Pull'!$A$1:$CB$1,0)),"")</f>
        <v>180254000</v>
      </c>
      <c r="V14" s="41">
        <f t="shared" si="7"/>
        <v>0</v>
      </c>
      <c r="W14" s="41">
        <f t="shared" si="8"/>
        <v>50.323929379339035</v>
      </c>
      <c r="X14" s="41">
        <f t="shared" si="0"/>
        <v>174.79922853059188</v>
      </c>
      <c r="Y14" s="37">
        <f t="shared" si="9"/>
        <v>-4.4588998088035047E-3</v>
      </c>
      <c r="Z14" s="41">
        <f t="shared" si="1"/>
        <v>10.327908939057361</v>
      </c>
      <c r="AA14" s="39">
        <f t="shared" si="10"/>
        <v>1.7564453719403503E-2</v>
      </c>
      <c r="AB14" s="37">
        <f t="shared" si="11"/>
        <v>6.5690013713551806E-2</v>
      </c>
      <c r="AC14" s="37">
        <f t="shared" si="12"/>
        <v>0.76360432063672545</v>
      </c>
      <c r="AD14" s="38">
        <f>IFERROR(INDEX('Prior YTD Data Pull'!$A$2:$CB$605,MATCH('Prior YTD Data Table'!$C14,'Prior YTD Data Pull'!$A$2:$A$605,0),MATCH("Net Patient Service Revenue",'Prior YTD Data Pull'!$A$1:$CB$1,0)),"")</f>
        <v>153836000</v>
      </c>
      <c r="AE14" s="38">
        <f>IFERROR(INDEX('Prior YTD Data Pull'!$A$2:$CB$605,MATCH('Prior YTD Data Table'!$C14,'Prior YTD Data Pull'!$A$2:$A$605,0),MATCH("Total Current Assets",'Prior YTD Data Pull'!$A$1:$CB$1,0)),"")</f>
        <v>165471000</v>
      </c>
      <c r="AF14" s="38">
        <f>IFERROR(INDEX('Prior YTD Data Pull'!$A$2:$CB$605,MATCH('Prior YTD Data Table'!$C14,'Prior YTD Data Pull'!$A$2:$A$605,0),MATCH("Total Current Liabilities",'Prior YTD Data Pull'!$A$1:$CB$1,0)),"")</f>
        <v>166406000</v>
      </c>
      <c r="AG14" s="38">
        <f>IFERROR(INDEX('Prior YTD Data Pull'!$A$2:$CB$605,MATCH('Prior YTD Data Table'!$C14,'Prior YTD Data Pull'!$A$2:$A$605,0),MATCH("Total Non Operating Revenue",'Prior YTD Data Pull'!$A$1:$CB$1,0)),"")</f>
        <v>1614000</v>
      </c>
      <c r="AH14" s="38">
        <f>IFERROR(INDEX('Prior YTD Data Pull'!$A$2:$CB$605,MATCH('Prior YTD Data Table'!$C14,'Prior Year Data Pull'!$A$2:$A$593,0),MATCH("Less Accumulated Depreciation",'Prior YTD Data Pull'!$A$1:$CB$1,0)),"")</f>
        <v>0</v>
      </c>
      <c r="AI14" s="38">
        <f>IFERROR(INDEX('Prior YTD Data Pull'!$A$2:$CB$605,MATCH('Prior YTD Data Table'!$C14,'Prior YTD Data Pull'!$A$2:$A$605,0),MATCH("Depreciation and Amortization Expense",'Prior YTD Data Pull'!$A$1:$CB$1,0)),"")</f>
        <v>6041000</v>
      </c>
      <c r="AJ14" s="38">
        <f>IFERROR(INDEX('Prior YTD Data Pull'!$A$2:$CB$605,MATCH('Prior YTD Data Table'!$C14,'Prior YTD Data Pull'!$A$2:$A$605,0),MATCH("Net Patient Accounts Receivable",'Prior YTD Data Pull'!$A$1:$CB$1,0)),"")</f>
        <v>42304000</v>
      </c>
      <c r="AK14" s="14" t="str">
        <f>IF('Prior YTD Data Pull'!$H14 = 6, "183", IF('Prior YTD Data Pull'!$H14 = 3, "93",""))</f>
        <v>183</v>
      </c>
      <c r="AL14" s="38">
        <f>IFERROR(INDEX('Prior YTD Data Pull'!$A$2:$CB$605,MATCH('Prior YTD Data Table'!$C14,'Prior YTD Data Pull'!$A$2:$A$605,0),MATCH("Estimated Third Party Settlements",'Prior YTD Data Pull'!$A$1:$CB$1,0)),"")</f>
        <v>0</v>
      </c>
      <c r="AM14" s="38">
        <f>IFERROR(INDEX('Prior YTD Data Pull'!$A$2:$CB$605,MATCH('Prior YTD Data Table'!$C14,'Prior YTD Data Pull'!$A$2:$A$605,0),MATCH("Current Liabilities due to Affiliates",'Prior YTD Data Pull'!$A$1:$CB$1,0)),"")</f>
        <v>74580000</v>
      </c>
      <c r="AN14" s="38">
        <f>IFERROR(INDEX('Prior YTD Data Pull'!$A$2:$CB$605,MATCH('Prior YTD Data Table'!$C14,'Prior YTD Data Pull'!$A$2:$A$605,0),MATCH("Short Term Investments",'Prior YTD Data Pull'!$A$1:$CB$1,0)),"")</f>
        <v>3348000</v>
      </c>
      <c r="AO14" s="38">
        <f>IFERROR(INDEX('Prior YTD Data Pull'!$A$2:$CB$605,MATCH('Prior YTD Data Table'!$C14,'Prior YTD Data Pull'!$A$2:$A$605,0),MATCH("Cash and Cash Equivalents",'Prior YTD Data Pull'!$A$1:$CB$1,0)),"")</f>
        <v>6484000</v>
      </c>
      <c r="AP14" s="38">
        <f>IFERROR(INDEX('Prior YTD Data Pull'!$A$2:$CB$605,MATCH('Prior YTD Data Table'!$C14,'Prior YTD Data Pull'!$A$2:$A$605,0),MATCH("Interest Expense",'Prior YTD Data Pull'!$A$1:$CB$1,0)),"")</f>
        <v>1844000</v>
      </c>
      <c r="AQ14" s="38">
        <f>IFERROR(INDEX('Prior YTD Data Pull'!$A$2:$CB$605,MATCH('Prior YTD Data Table'!$C14,'Prior YTD Data Pull'!$A$2:$A$605,0),MATCH("Long Term Debt Net of Current Portion",'Prior YTD Data Pull'!$A$1:$CB$1,0)),"")</f>
        <v>67159000</v>
      </c>
      <c r="AR14" s="38">
        <f>IFERROR(INDEX('Prior YTD Data Pull'!$A$2:$CB$605,MATCH('Prior YTD Data Table'!$C14,'Prior YTD Data Pull'!$A$2:$A$605,0),MATCH("Total Assets",'Prior YTD Data Pull'!$A$1:$CB$1,0)),"")</f>
        <v>333247000</v>
      </c>
      <c r="AS14" s="38">
        <f>IFERROR(INDEX('Prior YTD Data Pull'!$A$2:$CB$605,MATCH('Prior YTD Data Table'!$C14,'Prior YTD Data Pull'!$A$2:$A$605,0),MATCH("Long Term Debt Net of Current Portion",'Prior YTD Data Pull'!$A$1:$CB$1,0)),"")</f>
        <v>67159000</v>
      </c>
      <c r="AT14" s="38">
        <f>IFERROR(INDEX('Prior YTD Data Pull'!$A$2:$CB$605,MATCH('Prior YTD Data Table'!$C14,'Prior YTD Data Pull'!$A$2:$A$605,0),MATCH("Net Unrestricted Assets",'Prior YTD Data Pull'!$A$1:$CB$1,0)),"")</f>
        <v>20791000</v>
      </c>
      <c r="AU14" s="38">
        <f>IFERROR(INDEX('Prior YTD Data Pull'!$A$2:$CB$605,MATCH('Prior YTD Data Table'!$C14,'Prior YTD Data Pull'!$A$2:$A$605,0),MATCH("Unrealized Gains/Losses",'Prior YTD Data Pull'!$A$1:$CB$1,0)),"")</f>
        <v>-89000</v>
      </c>
      <c r="AV14" s="38">
        <f>IFERROR(INDEX('Prior YTD Data Pull'!$A$2:$CB$605,MATCH('Prior YTD Data Table'!$C14,'Prior YTD Data Pull'!$A$2:$A$605,0),MATCH("Salary and Benefit Expense",'Prior YTD Data Pull'!$A$1:$CB$1,0)),"")</f>
        <v>81353000</v>
      </c>
      <c r="AW14" s="38"/>
      <c r="AX14" s="38"/>
      <c r="AY14" s="38"/>
      <c r="AZ14" s="38"/>
    </row>
    <row r="15" spans="1:83" ht="34.200000000000003" x14ac:dyDescent="0.3">
      <c r="A15" s="14" t="str">
        <f>IFERROR(INDEX('Static Data Tab'!$N$2:$N$610,MATCH(D15,'Static Data Tab'!$D$2:$D$610,0)), "")</f>
        <v>Tufts Medicine</v>
      </c>
      <c r="B15" s="14" t="s">
        <v>193</v>
      </c>
      <c r="C15" s="14">
        <v>104</v>
      </c>
      <c r="D15" s="14">
        <v>12775</v>
      </c>
      <c r="E15" s="14" t="str">
        <f>IFERROR(INDEX('Prior YTD Data Pull'!$A$1:$CB$605,MATCH('Prior YTD Data Table'!$C15,'Prior YTD Data Pull'!$A$1:$A$605,0),MATCH("Organization Type",'Prior YTD Data Pull'!$A$1:$CB$1,0)),"")</f>
        <v>AcuteHospital</v>
      </c>
      <c r="F15" s="14" t="str">
        <f>IFERROR(INDEX('Static Data Tab'!$E$2:$E$610,MATCH('Prior YTD Data Table'!$C15,'Static Data Tab'!$B$2:$B$610,0)), "-")</f>
        <v>Academic Medical Center</v>
      </c>
      <c r="G15" s="46" t="str">
        <f>IFERROR(INDEX('Static Data Tab'!$J$2:$J$610,MATCH('Prior YTD Data Table'!$C15,'Static Data Tab'!$B$2:$B$610,0)), "")</f>
        <v>Metro Boston</v>
      </c>
      <c r="H15" s="14" t="str">
        <f>IFERROR(INDEX('Static Data Tab'!$F$2:$F$610,MATCH('Prior YTD Data Table'!$C15,'Static Data Tab'!$B$2:$B$610,0)), "")</f>
        <v>x</v>
      </c>
      <c r="I15" s="14" t="str">
        <f>IFERROR(INDEX('Static Data Tab'!$G$2:$G$610,MATCH('Prior YTD Data Table'!$C15,'Static Data Tab'!$B$2:$B$610,0)), "")</f>
        <v>x</v>
      </c>
      <c r="J15" s="14" t="str">
        <f>IFERROR(INDEX('Prior YTD Data Pull'!$A$2:$CB$605,MATCH('Prior YTD Data Table'!$C15,'Prior YTD Data Pull'!$A$2:$A$605,0),MATCH("Quarter Range",'Prior YTD Data Pull'!$A$1:$CB$1,0)),"")</f>
        <v xml:space="preserve">10/01/2024-03/31/2025
</v>
      </c>
      <c r="K15" s="37">
        <f t="shared" si="2"/>
        <v>2.1005944891171281E-2</v>
      </c>
      <c r="L15" s="37">
        <f t="shared" si="3"/>
        <v>6.0641866462917565E-4</v>
      </c>
      <c r="M15" s="37">
        <f t="shared" si="4"/>
        <v>2.1612363555800457E-2</v>
      </c>
      <c r="N15" s="38">
        <f t="shared" si="5"/>
        <v>15218000</v>
      </c>
      <c r="O15" s="39">
        <f t="shared" si="6"/>
        <v>2.023262384178897</v>
      </c>
      <c r="P15" s="38">
        <f>IFERROR(INDEX('Prior YTD Data Pull'!$A$2:$CB$605,MATCH('Prior YTD Data Table'!$C15,'Prior YTD Data Pull'!$A$2:$A$605,0),MATCH("Total Net Assets or Equity",'Prior YTD Data Pull'!$A$1:$CB$1,0)),"")</f>
        <v>-86869000</v>
      </c>
      <c r="Q15" s="38">
        <f>IFERROR(INDEX('Prior YTD Data Pull'!$A$2:$CB$605,MATCH('Prior YTD Data Table'!$C15,'Prior YTD Data Pull'!$A$2:$A$605,0),MATCH("Total Operating Revenue",'Prior YTD Data Pull'!$A$1:$CB$1,0)),"")</f>
        <v>703707000</v>
      </c>
      <c r="R15" s="38">
        <f>IFERROR(INDEX('Prior YTD Data Pull'!$A$2:$CB$605,MATCH('Prior YTD Data Table'!$C15,'Prior YTD Data Pull'!$A$2:$A$605,0),MATCH("Total Unrestricted Revenue Gains and Other Support",'Prior YTD Data Pull'!$A$1:$CB$1,0)),"")</f>
        <v>704134000</v>
      </c>
      <c r="S15" s="38">
        <f>IFERROR(INDEX('Prior YTD TS Data Pull'!$J$2:$J$128,MATCH('Prior YTD Data Table'!$C15, 'Prior YTD TS Data Pull'!$A$2:$A$128,0))+INDEX('Prior YTD TS Data Pull'!$N$2:$N$128,MATCH('Prior YTD Data Table'!$C15,'Prior YTD TS Data Pull'!$A$2:$A$609,0))+INDEX('Prior YTD TS Data Pull'!$R$2:$R$128,MATCH('Prior YTD Data Table'!$C15,'Prior YTD TS Data Pull'!$A$2:$A$609,0)),"")</f>
        <v>7315792</v>
      </c>
      <c r="T15" s="38">
        <f>IF(INDEX('Prior YTD TS Data Pull'!$A$1:$O$609,MATCH('Prior YTD Data Table'!$C15,'Prior YTD TS Data Pull'!$A$1:$A$609,0),MATCH("Temporary RN Staffing:
Line Reported on in Standardized Financials",'Prior YTD TS Data Pull'!$A$1:$O$1,0))="66.1: Salary and Benefit Expense",'Prior YTD Data Table'!$AV15-'Prior YTD Data Table'!$S15,0)</f>
        <v>0</v>
      </c>
      <c r="U15" s="38">
        <f>IFERROR(INDEX('Prior YTD Data Pull'!$A$2:$CB$605,MATCH('Prior YTD Data Table'!$C15,'Prior YTD Data Pull'!$A$2:$A$605,0),MATCH("Total Expenses Including Nonrecurring Gains Losses",'Prior YTD Data Pull'!$A$1:$CB$1,0)),"")</f>
        <v>688916000</v>
      </c>
      <c r="V15" s="41">
        <f t="shared" si="7"/>
        <v>0</v>
      </c>
      <c r="W15" s="41">
        <f t="shared" si="8"/>
        <v>54.879261529267723</v>
      </c>
      <c r="X15" s="41">
        <f t="shared" si="0"/>
        <v>56.237179957120645</v>
      </c>
      <c r="Y15" s="37">
        <f t="shared" si="9"/>
        <v>4.0695921476446691E-2</v>
      </c>
      <c r="Z15" s="41">
        <f t="shared" si="1"/>
        <v>9.5195253647961433</v>
      </c>
      <c r="AA15" s="39">
        <f t="shared" si="10"/>
        <v>5.9429934386432508E-2</v>
      </c>
      <c r="AB15" s="37">
        <f t="shared" si="11"/>
        <v>-8.6409646320162015E-2</v>
      </c>
      <c r="AC15" s="37">
        <f t="shared" si="12"/>
        <v>1.1506142063671001</v>
      </c>
      <c r="AD15" s="38">
        <f>IFERROR(INDEX('Prior YTD Data Pull'!$A$2:$CB$605,MATCH('Prior YTD Data Table'!$C15,'Prior YTD Data Pull'!$A$2:$A$605,0),MATCH("Net Patient Service Revenue",'Prior YTD Data Pull'!$A$1:$CB$1,0)),"")</f>
        <v>548864000</v>
      </c>
      <c r="AE15" s="38">
        <f>IFERROR(INDEX('Prior YTD Data Pull'!$A$2:$CB$605,MATCH('Prior YTD Data Table'!$C15,'Prior YTD Data Pull'!$A$2:$A$605,0),MATCH("Total Current Assets",'Prior YTD Data Pull'!$A$1:$CB$1,0)),"")</f>
        <v>422528000</v>
      </c>
      <c r="AF15" s="38">
        <f>IFERROR(INDEX('Prior YTD Data Pull'!$A$2:$CB$605,MATCH('Prior YTD Data Table'!$C15,'Prior YTD Data Pull'!$A$2:$A$605,0),MATCH("Total Current Liabilities",'Prior YTD Data Pull'!$A$1:$CB$1,0)),"")</f>
        <v>208835000</v>
      </c>
      <c r="AG15" s="38">
        <f>IFERROR(INDEX('Prior YTD Data Pull'!$A$2:$CB$605,MATCH('Prior YTD Data Table'!$C15,'Prior YTD Data Pull'!$A$2:$A$605,0),MATCH("Total Non Operating Revenue",'Prior YTD Data Pull'!$A$1:$CB$1,0)),"")</f>
        <v>427000</v>
      </c>
      <c r="AH15" s="38">
        <f>IFERROR(INDEX('Prior YTD Data Pull'!$A$2:$CB$605,MATCH('Prior YTD Data Table'!$C15,'Prior Year Data Pull'!$A$2:$A$593,0),MATCH("Less Accumulated Depreciation",'Prior YTD Data Pull'!$A$1:$CB$1,0)),"")</f>
        <v>0</v>
      </c>
      <c r="AI15" s="38">
        <f>IFERROR(INDEX('Prior YTD Data Pull'!$A$2:$CB$605,MATCH('Prior YTD Data Table'!$C15,'Prior YTD Data Pull'!$A$2:$A$605,0),MATCH("Depreciation and Amortization Expense",'Prior YTD Data Pull'!$A$1:$CB$1,0)),"")</f>
        <v>20529000</v>
      </c>
      <c r="AJ15" s="38">
        <f>IFERROR(INDEX('Prior YTD Data Pull'!$A$2:$CB$605,MATCH('Prior YTD Data Table'!$C15,'Prior YTD Data Pull'!$A$2:$A$605,0),MATCH("Net Patient Accounts Receivable",'Prior YTD Data Pull'!$A$1:$CB$1,0)),"")</f>
        <v>164597000</v>
      </c>
      <c r="AK15" s="14" t="str">
        <f>IF('Prior YTD Data Pull'!$H15 = 6, "183", IF('Prior YTD Data Pull'!$H15 = 3, "93",""))</f>
        <v>183</v>
      </c>
      <c r="AL15" s="38">
        <f>IFERROR(INDEX('Prior YTD Data Pull'!$A$2:$CB$605,MATCH('Prior YTD Data Table'!$C15,'Prior YTD Data Pull'!$A$2:$A$605,0),MATCH("Estimated Third Party Settlements",'Prior YTD Data Pull'!$A$1:$CB$1,0)),"")</f>
        <v>3435000</v>
      </c>
      <c r="AM15" s="38">
        <f>IFERROR(INDEX('Prior YTD Data Pull'!$A$2:$CB$605,MATCH('Prior YTD Data Table'!$C15,'Prior YTD Data Pull'!$A$2:$A$605,0),MATCH("Current Liabilities due to Affiliates",'Prior YTD Data Pull'!$A$1:$CB$1,0)),"")</f>
        <v>67486000</v>
      </c>
      <c r="AN15" s="38">
        <f>IFERROR(INDEX('Prior YTD Data Pull'!$A$2:$CB$605,MATCH('Prior YTD Data Table'!$C15,'Prior YTD Data Pull'!$A$2:$A$605,0),MATCH("Short Term Investments",'Prior YTD Data Pull'!$A$1:$CB$1,0)),"")</f>
        <v>21500000</v>
      </c>
      <c r="AO15" s="38">
        <f>IFERROR(INDEX('Prior YTD Data Pull'!$A$2:$CB$605,MATCH('Prior YTD Data Table'!$C15,'Prior YTD Data Pull'!$A$2:$A$605,0),MATCH("Cash and Cash Equivalents",'Prior YTD Data Pull'!$A$1:$CB$1,0)),"")</f>
        <v>13269000</v>
      </c>
      <c r="AP15" s="38">
        <f>IFERROR(INDEX('Prior YTD Data Pull'!$A$2:$CB$605,MATCH('Prior YTD Data Table'!$C15,'Prior YTD Data Pull'!$A$2:$A$605,0),MATCH("Interest Expense",'Prior YTD Data Pull'!$A$1:$CB$1,0)),"")</f>
        <v>13242000</v>
      </c>
      <c r="AQ15" s="38">
        <f>IFERROR(INDEX('Prior YTD Data Pull'!$A$2:$CB$605,MATCH('Prior YTD Data Table'!$C15,'Prior YTD Data Pull'!$A$2:$A$605,0),MATCH("Long Term Debt Net of Current Portion",'Prior YTD Data Pull'!$A$1:$CB$1,0)),"")</f>
        <v>811435000</v>
      </c>
      <c r="AR15" s="38">
        <f>IFERROR(INDEX('Prior YTD Data Pull'!$A$2:$CB$605,MATCH('Prior YTD Data Table'!$C15,'Prior YTD Data Pull'!$A$2:$A$605,0),MATCH("Total Assets",'Prior YTD Data Pull'!$A$1:$CB$1,0)),"")</f>
        <v>1005316000</v>
      </c>
      <c r="AS15" s="38">
        <f>IFERROR(INDEX('Prior YTD Data Pull'!$A$2:$CB$605,MATCH('Prior YTD Data Table'!$C15,'Prior YTD Data Pull'!$A$2:$A$605,0),MATCH("Long Term Debt Net of Current Portion",'Prior YTD Data Pull'!$A$1:$CB$1,0)),"")</f>
        <v>811435000</v>
      </c>
      <c r="AT15" s="38">
        <f>IFERROR(INDEX('Prior YTD Data Pull'!$A$2:$CB$605,MATCH('Prior YTD Data Table'!$C15,'Prior YTD Data Pull'!$A$2:$A$605,0),MATCH("Net Unrestricted Assets",'Prior YTD Data Pull'!$A$1:$CB$1,0)),"")</f>
        <v>-106216000</v>
      </c>
      <c r="AU15" s="38">
        <f>IFERROR(INDEX('Prior YTD Data Pull'!$A$2:$CB$605,MATCH('Prior YTD Data Table'!$C15,'Prior YTD Data Pull'!$A$2:$A$605,0),MATCH("Unrealized Gains/Losses",'Prior YTD Data Pull'!$A$1:$CB$1,0)),"")</f>
        <v>-21500</v>
      </c>
      <c r="AV15" s="38">
        <f>IFERROR(INDEX('Prior YTD Data Pull'!$A$2:$CB$605,MATCH('Prior YTD Data Table'!$C15,'Prior YTD Data Pull'!$A$2:$A$605,0),MATCH("Salary and Benefit Expense",'Prior YTD Data Pull'!$A$1:$CB$1,0)),"")</f>
        <v>257270000</v>
      </c>
      <c r="AW15" s="47"/>
      <c r="AX15" s="47"/>
      <c r="AY15" s="47"/>
      <c r="AZ15" s="47"/>
    </row>
    <row r="16" spans="1:83" ht="34.200000000000003" x14ac:dyDescent="0.3">
      <c r="A16" s="14" t="str">
        <f>IFERROR(INDEX('Static Data Tab'!$N$2:$N$610,MATCH(D16,'Static Data Tab'!$D$2:$D$610,0)), "")</f>
        <v>Beth Israel Lahey Health</v>
      </c>
      <c r="B16" s="57" t="s">
        <v>95</v>
      </c>
      <c r="C16" s="57">
        <v>8702</v>
      </c>
      <c r="D16" s="57">
        <v>16665</v>
      </c>
      <c r="E16" s="14" t="str">
        <f>IFERROR(INDEX('Prior YTD Data Pull'!$A$1:$CB$605,MATCH('Prior YTD Data Table'!$C16,'Prior YTD Data Pull'!$A$1:$A$605,0),MATCH("Organization Type",'Prior YTD Data Pull'!$A$1:$CB$1,0)),"")</f>
        <v>AcuteHospital</v>
      </c>
      <c r="F16" s="14" t="str">
        <f>IFERROR(INDEX('Static Data Tab'!$E$2:$E$610,MATCH('Prior YTD Data Table'!$C16,'Static Data Tab'!$B$2:$B$610,0)), "-")</f>
        <v>Academic Medical Center</v>
      </c>
      <c r="G16" s="46" t="str">
        <f>IFERROR(INDEX('Static Data Tab'!$J$2:$J$610,MATCH('Prior YTD Data Table'!$C16,'Static Data Tab'!$B$2:$B$610,0)), "")</f>
        <v>Metro Boston</v>
      </c>
      <c r="H16" s="14">
        <f>IFERROR(INDEX('Static Data Tab'!$F$2:$F$610,MATCH('Prior YTD Data Table'!$C16,'Static Data Tab'!$B$2:$B$610,0)), "")</f>
        <v>0</v>
      </c>
      <c r="I16" s="14" t="str">
        <f>IFERROR(INDEX('Static Data Tab'!$G$2:$G$610,MATCH('Prior YTD Data Table'!$C16,'Static Data Tab'!$B$2:$B$610,0)), "")</f>
        <v>x</v>
      </c>
      <c r="J16" s="14" t="str">
        <f>IFERROR(INDEX('Prior YTD Data Pull'!$A$2:$CB$605,MATCH('Prior YTD Data Table'!$C16,'Prior YTD Data Pull'!$A$2:$A$605,0),MATCH("Quarter Range",'Prior YTD Data Pull'!$A$1:$CB$1,0)),"")</f>
        <v xml:space="preserve">10/01/2024-03/31/2025
</v>
      </c>
      <c r="K16" s="37">
        <f t="shared" si="2"/>
        <v>3.7761334272962181E-2</v>
      </c>
      <c r="L16" s="37">
        <f t="shared" si="3"/>
        <v>1.2071082437900947E-2</v>
      </c>
      <c r="M16" s="37">
        <f t="shared" si="4"/>
        <v>4.983241671086313E-2</v>
      </c>
      <c r="N16" s="38">
        <f t="shared" si="5"/>
        <v>82309000</v>
      </c>
      <c r="O16" s="39">
        <f t="shared" si="6"/>
        <v>3.5577370999921936</v>
      </c>
      <c r="P16" s="38">
        <f>IFERROR(INDEX('Prior YTD Data Pull'!$A$2:$CB$605,MATCH('Prior YTD Data Table'!$C16,'Prior YTD Data Pull'!$A$2:$A$605,0),MATCH("Total Net Assets or Equity",'Prior YTD Data Pull'!$A$1:$CB$1,0)),"")</f>
        <v>1691084000</v>
      </c>
      <c r="Q16" s="38">
        <f>IFERROR(INDEX('Prior YTD Data Pull'!$A$2:$CB$605,MATCH('Prior YTD Data Table'!$C16,'Prior YTD Data Pull'!$A$2:$A$605,0),MATCH("Total Operating Revenue",'Prior YTD Data Pull'!$A$1:$CB$1,0)),"")</f>
        <v>1631778000</v>
      </c>
      <c r="R16" s="38">
        <f>IFERROR(INDEX('Prior YTD Data Pull'!$A$2:$CB$605,MATCH('Prior YTD Data Table'!$C16,'Prior YTD Data Pull'!$A$2:$A$605,0),MATCH("Total Unrestricted Revenue Gains and Other Support",'Prior YTD Data Pull'!$A$1:$CB$1,0)),"")</f>
        <v>1651716000</v>
      </c>
      <c r="S16" s="38">
        <f>IFERROR(INDEX('Prior YTD TS Data Pull'!$J$2:$J$128,MATCH('Prior YTD Data Table'!$C16, 'Prior YTD TS Data Pull'!$A$2:$A$128,0))+INDEX('Prior YTD TS Data Pull'!$N$2:$N$128,MATCH('Prior YTD Data Table'!$C16,'Prior YTD TS Data Pull'!$A$2:$A$609,0))+INDEX('Prior YTD TS Data Pull'!$R$2:$R$128,MATCH('Prior YTD Data Table'!$C16,'Prior YTD TS Data Pull'!$A$2:$A$609,0)),"")</f>
        <v>2995446.29</v>
      </c>
      <c r="T16" s="38">
        <f>IF(INDEX('Prior YTD TS Data Pull'!$A$1:$O$609,MATCH('Prior YTD Data Table'!$C16,'Prior YTD TS Data Pull'!$A$1:$A$609,0),MATCH("Temporary RN Staffing:
Line Reported on in Standardized Financials",'Prior YTD TS Data Pull'!$A$1:$O$1,0))="66.1: Salary and Benefit Expense",'Prior YTD Data Table'!$AV16-'Prior YTD Data Table'!$S16,0)</f>
        <v>478352553.70999998</v>
      </c>
      <c r="U16" s="38">
        <f>IFERROR(INDEX('Prior YTD Data Pull'!$A$2:$CB$605,MATCH('Prior YTD Data Table'!$C16,'Prior YTD Data Pull'!$A$2:$A$605,0),MATCH("Total Expenses Including Nonrecurring Gains Losses",'Prior YTD Data Pull'!$A$1:$CB$1,0)),"")</f>
        <v>1569407000</v>
      </c>
      <c r="V16" s="41">
        <f t="shared" si="7"/>
        <v>1.5886639025093741</v>
      </c>
      <c r="W16" s="41">
        <f t="shared" si="8"/>
        <v>54.270949502910582</v>
      </c>
      <c r="X16" s="41">
        <f t="shared" si="0"/>
        <v>66.59418997513103</v>
      </c>
      <c r="Y16" s="37">
        <f t="shared" si="9"/>
        <v>9.261703065683928E-2</v>
      </c>
      <c r="Z16" s="41">
        <f t="shared" si="1"/>
        <v>86.123932665537154</v>
      </c>
      <c r="AA16" s="39">
        <f t="shared" si="10"/>
        <v>0.1117156938709598</v>
      </c>
      <c r="AB16" s="37">
        <f t="shared" si="11"/>
        <v>0.41224192889411537</v>
      </c>
      <c r="AC16" s="37">
        <f t="shared" si="12"/>
        <v>0.51135376729013537</v>
      </c>
      <c r="AD16" s="38">
        <f>IFERROR(INDEX('Prior YTD Data Pull'!$A$2:$CB$605,MATCH('Prior YTD Data Table'!$C16,'Prior YTD Data Pull'!$A$2:$A$605,0),MATCH("Net Patient Service Revenue",'Prior YTD Data Pull'!$A$1:$CB$1,0)),"")</f>
        <v>1167295000</v>
      </c>
      <c r="AE16" s="38">
        <f>IFERROR(INDEX('Prior YTD Data Pull'!$A$2:$CB$605,MATCH('Prior YTD Data Table'!$C16,'Prior YTD Data Pull'!$A$2:$A$605,0),MATCH("Total Current Assets",'Prior YTD Data Pull'!$A$1:$CB$1,0)),"")</f>
        <v>1959719000</v>
      </c>
      <c r="AF16" s="38">
        <f>IFERROR(INDEX('Prior YTD Data Pull'!$A$2:$CB$605,MATCH('Prior YTD Data Table'!$C16,'Prior YTD Data Pull'!$A$2:$A$605,0),MATCH("Total Current Liabilities",'Prior YTD Data Pull'!$A$1:$CB$1,0)),"")</f>
        <v>550833000</v>
      </c>
      <c r="AG16" s="38">
        <f>IFERROR(INDEX('Prior YTD Data Pull'!$A$2:$CB$605,MATCH('Prior YTD Data Table'!$C16,'Prior YTD Data Pull'!$A$2:$A$605,0),MATCH("Total Non Operating Revenue",'Prior YTD Data Pull'!$A$1:$CB$1,0)),"")</f>
        <v>19938000</v>
      </c>
      <c r="AH16" s="38">
        <f>IFERROR(INDEX('Prior YTD Data Pull'!$A$2:$CB$605,MATCH('Prior YTD Data Table'!$C16,'Prior Year Data Pull'!$A$2:$A$593,0),MATCH("Less Accumulated Depreciation",'Prior YTD Data Pull'!$A$1:$CB$1,0)),"")</f>
        <v>88126364</v>
      </c>
      <c r="AI16" s="38">
        <f>IFERROR(INDEX('Prior YTD Data Pull'!$A$2:$CB$605,MATCH('Prior YTD Data Table'!$C16,'Prior YTD Data Pull'!$A$2:$A$605,0),MATCH("Depreciation and Amortization Expense",'Prior YTD Data Pull'!$A$1:$CB$1,0)),"")</f>
        <v>55472000</v>
      </c>
      <c r="AJ16" s="38">
        <f>IFERROR(INDEX('Prior YTD Data Pull'!$A$2:$CB$605,MATCH('Prior YTD Data Table'!$C16,'Prior YTD Data Pull'!$A$2:$A$605,0),MATCH("Net Patient Accounts Receivable",'Prior YTD Data Pull'!$A$1:$CB$1,0)),"")</f>
        <v>346176000</v>
      </c>
      <c r="AK16" s="14" t="str">
        <f>IF('Prior YTD Data Pull'!$H16 = 6, "183", IF('Prior YTD Data Pull'!$H16 = 3, "93",""))</f>
        <v>183</v>
      </c>
      <c r="AL16" s="38">
        <f>IFERROR(INDEX('Prior YTD Data Pull'!$A$2:$CB$605,MATCH('Prior YTD Data Table'!$C16,'Prior YTD Data Pull'!$A$2:$A$605,0),MATCH("Estimated Third Party Settlements",'Prior YTD Data Pull'!$A$1:$CB$1,0)),"")</f>
        <v>-92000</v>
      </c>
      <c r="AM16" s="38">
        <f>IFERROR(INDEX('Prior YTD Data Pull'!$A$2:$CB$605,MATCH('Prior YTD Data Table'!$C16,'Prior YTD Data Pull'!$A$2:$A$605,0),MATCH("Current Liabilities due to Affiliates",'Prior YTD Data Pull'!$A$1:$CB$1,0)),"")</f>
        <v>0</v>
      </c>
      <c r="AN16" s="38">
        <f>IFERROR(INDEX('Prior YTD Data Pull'!$A$2:$CB$605,MATCH('Prior YTD Data Table'!$C16,'Prior YTD Data Pull'!$A$2:$A$605,0),MATCH("Short Term Investments",'Prior YTD Data Pull'!$A$1:$CB$1,0)),"")</f>
        <v>717388000</v>
      </c>
      <c r="AO16" s="38">
        <f>IFERROR(INDEX('Prior YTD Data Pull'!$A$2:$CB$605,MATCH('Prior YTD Data Table'!$C16,'Prior YTD Data Pull'!$A$2:$A$605,0),MATCH("Cash and Cash Equivalents",'Prior YTD Data Pull'!$A$1:$CB$1,0)),"")</f>
        <v>-4896000</v>
      </c>
      <c r="AP16" s="38">
        <f>IFERROR(INDEX('Prior YTD Data Pull'!$A$2:$CB$605,MATCH('Prior YTD Data Table'!$C16,'Prior YTD Data Pull'!$A$2:$A$605,0),MATCH("Interest Expense",'Prior YTD Data Pull'!$A$1:$CB$1,0)),"")</f>
        <v>29066000</v>
      </c>
      <c r="AQ16" s="38">
        <f>IFERROR(INDEX('Prior YTD Data Pull'!$A$2:$CB$605,MATCH('Prior YTD Data Table'!$C16,'Prior YTD Data Pull'!$A$2:$A$605,0),MATCH("Long Term Debt Net of Current Portion",'Prior YTD Data Pull'!$A$1:$CB$1,0)),"")</f>
        <v>1351868000</v>
      </c>
      <c r="AR16" s="38">
        <f>IFERROR(INDEX('Prior YTD Data Pull'!$A$2:$CB$605,MATCH('Prior YTD Data Table'!$C16,'Prior YTD Data Pull'!$A$2:$A$605,0),MATCH("Total Assets",'Prior YTD Data Pull'!$A$1:$CB$1,0)),"")</f>
        <v>4102164000</v>
      </c>
      <c r="AS16" s="38">
        <f>IFERROR(INDEX('Prior YTD Data Pull'!$A$2:$CB$605,MATCH('Prior YTD Data Table'!$C16,'Prior YTD Data Pull'!$A$2:$A$605,0),MATCH("Long Term Debt Net of Current Portion",'Prior YTD Data Pull'!$A$1:$CB$1,0)),"")</f>
        <v>1351868000</v>
      </c>
      <c r="AT16" s="38">
        <f>IFERROR(INDEX('Prior YTD Data Pull'!$A$2:$CB$605,MATCH('Prior YTD Data Table'!$C16,'Prior YTD Data Pull'!$A$2:$A$605,0),MATCH("Net Unrestricted Assets",'Prior YTD Data Pull'!$A$1:$CB$1,0)),"")</f>
        <v>1291836000</v>
      </c>
      <c r="AU16" s="38">
        <f>IFERROR(INDEX('Prior YTD Data Pull'!$A$2:$CB$605,MATCH('Prior YTD Data Table'!$C16,'Prior YTD Data Pull'!$A$2:$A$605,0),MATCH("Unrealized Gains/Losses",'Prior YTD Data Pull'!$A$1:$CB$1,0)),"")</f>
        <v>12575000</v>
      </c>
      <c r="AV16" s="38">
        <f>IFERROR(INDEX('Prior YTD Data Pull'!$A$2:$CB$605,MATCH('Prior YTD Data Table'!$C16,'Prior YTD Data Pull'!$A$2:$A$605,0),MATCH("Salary and Benefit Expense",'Prior YTD Data Pull'!$A$1:$CB$1,0)),"")</f>
        <v>481348000</v>
      </c>
      <c r="AW16" s="38"/>
      <c r="AX16" s="38"/>
      <c r="AY16" s="38"/>
      <c r="AZ16" s="38"/>
    </row>
    <row r="17" spans="1:52" ht="34.200000000000003" x14ac:dyDescent="0.3">
      <c r="A17" s="14" t="str">
        <f>IFERROR(INDEX('Static Data Tab'!$N$2:$N$610,MATCH(D17,'Static Data Tab'!$D$2:$D$610,0)), "")</f>
        <v>Brown University Health</v>
      </c>
      <c r="B17" s="14" t="s">
        <v>173</v>
      </c>
      <c r="C17" s="14">
        <v>99</v>
      </c>
      <c r="D17" s="14">
        <v>22350</v>
      </c>
      <c r="E17" s="14" t="str">
        <f>IFERROR(INDEX('Prior YTD Data Pull'!$A$1:$CB$605,MATCH('Prior YTD Data Table'!$C17,'Prior YTD Data Pull'!$A$1:$A$605,0),MATCH("Organization Type",'Prior YTD Data Pull'!$A$1:$CB$1,0)),"")</f>
        <v>AcuteHospital</v>
      </c>
      <c r="F17" s="14" t="str">
        <f>IFERROR(INDEX('Static Data Tab'!$E$2:$E$610,MATCH('Prior YTD Data Table'!$C17,'Static Data Tab'!$B$2:$B$610,0)), "-")</f>
        <v>Community-High Public Payer Hospital</v>
      </c>
      <c r="G17" s="46" t="str">
        <f>IFERROR(INDEX('Static Data Tab'!$J$2:$J$610,MATCH('Prior YTD Data Table'!$C17,'Static Data Tab'!$B$2:$B$610,0)), "")</f>
        <v>Metro South</v>
      </c>
      <c r="H17" s="14" t="str">
        <f>IFERROR(INDEX('Static Data Tab'!$F$2:$F$610,MATCH('Prior YTD Data Table'!$C17,'Static Data Tab'!$B$2:$B$610,0)), "")</f>
        <v>x</v>
      </c>
      <c r="I17" s="14">
        <f>IFERROR(INDEX('Static Data Tab'!$G$2:$G$610,MATCH('Prior YTD Data Table'!$C17,'Static Data Tab'!$B$2:$B$610,0)), "")</f>
        <v>0</v>
      </c>
      <c r="J17" s="14" t="str">
        <f>IFERROR(INDEX('Prior YTD Data Pull'!$A$2:$CB$605,MATCH('Prior YTD Data Table'!$C17,'Prior YTD Data Pull'!$A$2:$A$605,0),MATCH("Quarter Range",'Prior YTD Data Pull'!$A$1:$CB$1,0)),"")</f>
        <v xml:space="preserve">10/01/2024-03/31/2025
</v>
      </c>
      <c r="K17" s="37">
        <f t="shared" si="2"/>
        <v>5.9811458905363352E-2</v>
      </c>
      <c r="L17" s="37">
        <f t="shared" si="3"/>
        <v>-5.4686069924949664E-3</v>
      </c>
      <c r="M17" s="37">
        <f t="shared" si="4"/>
        <v>5.434285191286839E-2</v>
      </c>
      <c r="N17" s="38">
        <f t="shared" si="5"/>
        <v>4750000</v>
      </c>
      <c r="O17" s="39">
        <f t="shared" si="6"/>
        <v>0.79994738918847819</v>
      </c>
      <c r="P17" s="38">
        <f>IFERROR(INDEX('Prior YTD Data Pull'!$A$2:$CB$605,MATCH('Prior YTD Data Table'!$C17,'Prior YTD Data Pull'!$A$2:$A$605,0),MATCH("Total Net Assets or Equity",'Prior YTD Data Pull'!$A$1:$CB$1,0)),"")</f>
        <v>-4878000</v>
      </c>
      <c r="Q17" s="38">
        <f>IFERROR(INDEX('Prior YTD Data Pull'!$A$2:$CB$605,MATCH('Prior YTD Data Table'!$C17,'Prior YTD Data Pull'!$A$2:$A$605,0),MATCH("Total Operating Revenue",'Prior YTD Data Pull'!$A$1:$CB$1,0)),"")</f>
        <v>87886000</v>
      </c>
      <c r="R17" s="38">
        <f>IFERROR(INDEX('Prior YTD Data Pull'!$A$2:$CB$605,MATCH('Prior YTD Data Table'!$C17,'Prior YTD Data Pull'!$A$2:$A$605,0),MATCH("Total Unrestricted Revenue Gains and Other Support",'Prior YTD Data Pull'!$A$1:$CB$1,0)),"")</f>
        <v>87408000</v>
      </c>
      <c r="S17" s="38">
        <f>IFERROR(INDEX('Prior YTD TS Data Pull'!$J$2:$J$128,MATCH('Prior YTD Data Table'!$C17, 'Prior YTD TS Data Pull'!$A$2:$A$128,0))+INDEX('Prior YTD TS Data Pull'!$N$2:$N$128,MATCH('Prior YTD Data Table'!$C17,'Prior YTD TS Data Pull'!$A$2:$A$609,0))+INDEX('Prior YTD TS Data Pull'!$R$2:$R$128,MATCH('Prior YTD Data Table'!$C17,'Prior YTD TS Data Pull'!$A$2:$A$609,0)),"")</f>
        <v>2131000</v>
      </c>
      <c r="T17" s="38">
        <f>IF(INDEX('Prior YTD TS Data Pull'!$A$1:$O$609,MATCH('Prior YTD Data Table'!$C17,'Prior YTD TS Data Pull'!$A$1:$A$609,0),MATCH("Temporary RN Staffing:
Line Reported on in Standardized Financials",'Prior YTD TS Data Pull'!$A$1:$O$1,0))="66.1: Salary and Benefit Expense",'Prior YTD Data Table'!$AV17-'Prior YTD Data Table'!$S17,0)</f>
        <v>0</v>
      </c>
      <c r="U17" s="38">
        <f>IFERROR(INDEX('Prior YTD Data Pull'!$A$2:$CB$605,MATCH('Prior YTD Data Table'!$C17,'Prior YTD Data Pull'!$A$2:$A$605,0),MATCH("Total Expenses Including Nonrecurring Gains Losses",'Prior YTD Data Pull'!$A$1:$CB$1,0)),"")</f>
        <v>82658000</v>
      </c>
      <c r="V17" s="41">
        <f t="shared" si="7"/>
        <v>0</v>
      </c>
      <c r="W17" s="41">
        <f t="shared" si="8"/>
        <v>41.175229311813943</v>
      </c>
      <c r="X17" s="41">
        <f t="shared" si="0"/>
        <v>311.42264150943396</v>
      </c>
      <c r="Y17" s="37">
        <f t="shared" si="9"/>
        <v>0.21943333333333334</v>
      </c>
      <c r="Z17" s="41">
        <f t="shared" si="1"/>
        <v>0.91471698113207545</v>
      </c>
      <c r="AA17" s="39">
        <f t="shared" si="10"/>
        <v>0.28502076209086469</v>
      </c>
      <c r="AB17" s="37">
        <f t="shared" si="11"/>
        <v>-3.0115572677433693E-2</v>
      </c>
      <c r="AC17" s="37">
        <f t="shared" si="12"/>
        <v>1.1941724385001193</v>
      </c>
      <c r="AD17" s="38">
        <f>IFERROR(INDEX('Prior YTD Data Pull'!$A$2:$CB$605,MATCH('Prior YTD Data Table'!$C17,'Prior YTD Data Pull'!$A$2:$A$605,0),MATCH("Net Patient Service Revenue",'Prior YTD Data Pull'!$A$1:$CB$1,0)),"")</f>
        <v>79804000</v>
      </c>
      <c r="AE17" s="38">
        <f>IFERROR(INDEX('Prior YTD Data Pull'!$A$2:$CB$605,MATCH('Prior YTD Data Table'!$C17,'Prior YTD Data Pull'!$A$2:$A$605,0),MATCH("Total Current Assets",'Prior YTD Data Pull'!$A$1:$CB$1,0)),"")</f>
        <v>109476000</v>
      </c>
      <c r="AF17" s="38">
        <f>IFERROR(INDEX('Prior YTD Data Pull'!$A$2:$CB$605,MATCH('Prior YTD Data Table'!$C17,'Prior YTD Data Pull'!$A$2:$A$605,0),MATCH("Total Current Liabilities",'Prior YTD Data Pull'!$A$1:$CB$1,0)),"")</f>
        <v>136854000</v>
      </c>
      <c r="AG17" s="38">
        <f>IFERROR(INDEX('Prior YTD Data Pull'!$A$2:$CB$605,MATCH('Prior YTD Data Table'!$C17,'Prior YTD Data Pull'!$A$2:$A$605,0),MATCH("Total Non Operating Revenue",'Prior YTD Data Pull'!$A$1:$CB$1,0)),"")</f>
        <v>-478000</v>
      </c>
      <c r="AH17" s="38">
        <f>IFERROR(INDEX('Prior YTD Data Pull'!$A$2:$CB$605,MATCH('Prior YTD Data Table'!$C17,'Prior Year Data Pull'!$A$2:$A$593,0),MATCH("Less Accumulated Depreciation",'Prior YTD Data Pull'!$A$1:$CB$1,0)),"")</f>
        <v>0</v>
      </c>
      <c r="AI17" s="38">
        <f>IFERROR(INDEX('Prior YTD Data Pull'!$A$2:$CB$605,MATCH('Prior YTD Data Table'!$C17,'Prior YTD Data Pull'!$A$2:$A$605,0),MATCH("Depreciation and Amortization Expense",'Prior YTD Data Pull'!$A$1:$CB$1,0)),"")</f>
        <v>1833000</v>
      </c>
      <c r="AJ17" s="38">
        <f>IFERROR(INDEX('Prior YTD Data Pull'!$A$2:$CB$605,MATCH('Prior YTD Data Table'!$C17,'Prior YTD Data Pull'!$A$2:$A$605,0),MATCH("Net Patient Accounts Receivable",'Prior YTD Data Pull'!$A$1:$CB$1,0)),"")</f>
        <v>17956000</v>
      </c>
      <c r="AK17" s="14" t="str">
        <f>IF('Prior YTD Data Pull'!$H17 = 6, "183", IF('Prior YTD Data Pull'!$H17 = 3, "93",""))</f>
        <v>183</v>
      </c>
      <c r="AL17" s="38">
        <f>IFERROR(INDEX('Prior YTD Data Pull'!$A$2:$CB$605,MATCH('Prior YTD Data Table'!$C17,'Prior YTD Data Pull'!$A$2:$A$605,0),MATCH("Estimated Third Party Settlements",'Prior YTD Data Pull'!$A$1:$CB$1,0)),"")</f>
        <v>-691000</v>
      </c>
      <c r="AM17" s="38">
        <f>IFERROR(INDEX('Prior YTD Data Pull'!$A$2:$CB$605,MATCH('Prior YTD Data Table'!$C17,'Prior YTD Data Pull'!$A$2:$A$605,0),MATCH("Current Liabilities due to Affiliates",'Prior YTD Data Pull'!$A$1:$CB$1,0)),"")</f>
        <v>0</v>
      </c>
      <c r="AN17" s="38">
        <f>IFERROR(INDEX('Prior YTD Data Pull'!$A$2:$CB$605,MATCH('Prior YTD Data Table'!$C17,'Prior YTD Data Pull'!$A$2:$A$605,0),MATCH("Short Term Investments",'Prior YTD Data Pull'!$A$1:$CB$1,0)),"")</f>
        <v>0</v>
      </c>
      <c r="AO17" s="38">
        <f>IFERROR(INDEX('Prior YTD Data Pull'!$A$2:$CB$605,MATCH('Prior YTD Data Table'!$C17,'Prior YTD Data Pull'!$A$2:$A$605,0),MATCH("Cash and Cash Equivalents",'Prior YTD Data Pull'!$A$1:$CB$1,0)),"")</f>
        <v>404000</v>
      </c>
      <c r="AP17" s="38">
        <f>IFERROR(INDEX('Prior YTD Data Pull'!$A$2:$CB$605,MATCH('Prior YTD Data Table'!$C17,'Prior YTD Data Pull'!$A$2:$A$605,0),MATCH("Interest Expense",'Prior YTD Data Pull'!$A$1:$CB$1,0)),"")</f>
        <v>2752000</v>
      </c>
      <c r="AQ17" s="38">
        <f>IFERROR(INDEX('Prior YTD Data Pull'!$A$2:$CB$605,MATCH('Prior YTD Data Table'!$C17,'Prior YTD Data Pull'!$A$2:$A$605,0),MATCH("Long Term Debt Net of Current Portion",'Prior YTD Data Pull'!$A$1:$CB$1,0)),"")</f>
        <v>30000000</v>
      </c>
      <c r="AR17" s="38">
        <f>IFERROR(INDEX('Prior YTD Data Pull'!$A$2:$CB$605,MATCH('Prior YTD Data Table'!$C17,'Prior YTD Data Pull'!$A$2:$A$605,0),MATCH("Total Assets",'Prior YTD Data Pull'!$A$1:$CB$1,0)),"")</f>
        <v>161976000</v>
      </c>
      <c r="AS17" s="38">
        <f>IFERROR(INDEX('Prior YTD Data Pull'!$A$2:$CB$605,MATCH('Prior YTD Data Table'!$C17,'Prior YTD Data Pull'!$A$2:$A$605,0),MATCH("Long Term Debt Net of Current Portion",'Prior YTD Data Pull'!$A$1:$CB$1,0)),"")</f>
        <v>30000000</v>
      </c>
      <c r="AT17" s="38">
        <f>IFERROR(INDEX('Prior YTD Data Pull'!$A$2:$CB$605,MATCH('Prior YTD Data Table'!$C17,'Prior YTD Data Pull'!$A$2:$A$605,0),MATCH("Net Unrestricted Assets",'Prior YTD Data Pull'!$A$1:$CB$1,0)),"")</f>
        <v>-4878000</v>
      </c>
      <c r="AU17" s="38">
        <f>IFERROR(INDEX('Prior YTD Data Pull'!$A$2:$CB$605,MATCH('Prior YTD Data Table'!$C17,'Prior YTD Data Pull'!$A$2:$A$605,0),MATCH("Unrealized Gains/Losses",'Prior YTD Data Pull'!$A$1:$CB$1,0)),"")</f>
        <v>0</v>
      </c>
      <c r="AV17" s="38">
        <f>IFERROR(INDEX('Prior YTD Data Pull'!$A$2:$CB$605,MATCH('Prior YTD Data Table'!$C17,'Prior YTD Data Pull'!$A$2:$A$605,0),MATCH("Salary and Benefit Expense",'Prior YTD Data Pull'!$A$1:$CB$1,0)),"")</f>
        <v>47068000</v>
      </c>
      <c r="AW17" s="47"/>
      <c r="AX17" s="47"/>
      <c r="AY17" s="47"/>
      <c r="AZ17" s="47"/>
    </row>
    <row r="18" spans="1:52" ht="34.200000000000003" x14ac:dyDescent="0.3">
      <c r="A18" s="14" t="str">
        <f>IFERROR(INDEX('Static Data Tab'!$N$2:$N$610,MATCH(D18,'Static Data Tab'!$D$2:$D$610,0)), "")</f>
        <v>Mass General Brigham</v>
      </c>
      <c r="B18" s="57" t="s">
        <v>147</v>
      </c>
      <c r="C18" s="57">
        <v>91</v>
      </c>
      <c r="D18" s="57">
        <v>3791</v>
      </c>
      <c r="E18" s="14" t="str">
        <f>IFERROR(INDEX('Prior YTD Data Pull'!$A$1:$CB$605,MATCH('Prior YTD Data Table'!$C18,'Prior YTD Data Pull'!$A$1:$A$605,0),MATCH("Organization Type",'Prior YTD Data Pull'!$A$1:$CB$1,0)),"")</f>
        <v>AcuteHospital</v>
      </c>
      <c r="F18" s="14" t="str">
        <f>IFERROR(INDEX('Static Data Tab'!$E$2:$E$610,MATCH('Prior YTD Data Table'!$C18,'Static Data Tab'!$B$2:$B$610,0)), "-")</f>
        <v>Academic Medical Center</v>
      </c>
      <c r="G18" s="46" t="str">
        <f>IFERROR(INDEX('Static Data Tab'!$J$2:$J$610,MATCH('Prior YTD Data Table'!$C18,'Static Data Tab'!$B$2:$B$610,0)), "")</f>
        <v>Metro Boston</v>
      </c>
      <c r="H18" s="14">
        <f>IFERROR(INDEX('Static Data Tab'!$F$2:$F$610,MATCH('Prior YTD Data Table'!$C18,'Static Data Tab'!$B$2:$B$610,0)), "")</f>
        <v>0</v>
      </c>
      <c r="I18" s="14" t="str">
        <f>IFERROR(INDEX('Static Data Tab'!$G$2:$G$610,MATCH('Prior YTD Data Table'!$C18,'Static Data Tab'!$B$2:$B$610,0)), "")</f>
        <v>x</v>
      </c>
      <c r="J18" s="14" t="str">
        <f>IFERROR(INDEX('Prior YTD Data Pull'!$A$2:$CB$605,MATCH('Prior YTD Data Table'!$C18,'Prior YTD Data Pull'!$A$2:$A$605,0),MATCH("Quarter Range",'Prior YTD Data Pull'!$A$1:$CB$1,0)),"")</f>
        <v xml:space="preserve">10/01/2024-03/31/2025
</v>
      </c>
      <c r="K18" s="37">
        <f t="shared" si="2"/>
        <v>4.1174356874048544E-2</v>
      </c>
      <c r="L18" s="37">
        <f t="shared" si="3"/>
        <v>2.8911827467933398E-2</v>
      </c>
      <c r="M18" s="37">
        <f t="shared" si="4"/>
        <v>7.0086184341981939E-2</v>
      </c>
      <c r="N18" s="38">
        <f t="shared" si="5"/>
        <v>253950000</v>
      </c>
      <c r="O18" s="39" t="str">
        <f t="shared" si="6"/>
        <v/>
      </c>
      <c r="P18" s="38">
        <f>IFERROR(INDEX('Prior YTD Data Pull'!$A$2:$CB$605,MATCH('Prior YTD Data Table'!$C18,'Prior YTD Data Pull'!$A$2:$A$605,0),MATCH("Total Net Assets or Equity",'Prior YTD Data Pull'!$A$1:$CB$1,0)),"")</f>
        <v>0</v>
      </c>
      <c r="Q18" s="38">
        <f>IFERROR(INDEX('Prior YTD Data Pull'!$A$2:$CB$605,MATCH('Prior YTD Data Table'!$C18,'Prior YTD Data Pull'!$A$2:$A$605,0),MATCH("Total Operating Revenue",'Prior YTD Data Pull'!$A$1:$CB$1,0)),"")</f>
        <v>3518637000</v>
      </c>
      <c r="R18" s="38">
        <f>IFERROR(INDEX('Prior YTD Data Pull'!$A$2:$CB$605,MATCH('Prior YTD Data Table'!$C18,'Prior YTD Data Pull'!$A$2:$A$605,0),MATCH("Total Unrestricted Revenue Gains and Other Support",'Prior YTD Data Pull'!$A$1:$CB$1,0)),"")</f>
        <v>3623396000</v>
      </c>
      <c r="S18" s="38">
        <f>IFERROR(INDEX('Prior YTD TS Data Pull'!$J$2:$J$128,MATCH('Prior YTD Data Table'!$C18, 'Prior YTD TS Data Pull'!$A$2:$A$128,0))+INDEX('Prior YTD TS Data Pull'!$N$2:$N$128,MATCH('Prior YTD Data Table'!$C18,'Prior YTD TS Data Pull'!$A$2:$A$609,0))+INDEX('Prior YTD TS Data Pull'!$R$2:$R$128,MATCH('Prior YTD Data Table'!$C18,'Prior YTD TS Data Pull'!$A$2:$A$609,0)),"")</f>
        <v>12870788.850000001</v>
      </c>
      <c r="T18" s="38">
        <f>IF(INDEX('Prior YTD TS Data Pull'!$A$1:$O$609,MATCH('Prior YTD Data Table'!$C18,'Prior YTD TS Data Pull'!$A$1:$A$609,0),MATCH("Temporary RN Staffing:
Line Reported on in Standardized Financials",'Prior YTD TS Data Pull'!$A$1:$O$1,0))="66.1: Salary and Benefit Expense",'Prior YTD Data Table'!$AV18-'Prior YTD Data Table'!$S18,0)</f>
        <v>0</v>
      </c>
      <c r="U18" s="38">
        <f>IFERROR(INDEX('Prior YTD Data Pull'!$A$2:$CB$605,MATCH('Prior YTD Data Table'!$C18,'Prior YTD Data Pull'!$A$2:$A$605,0),MATCH("Total Expenses Including Nonrecurring Gains Losses",'Prior YTD Data Pull'!$A$1:$CB$1,0)),"")</f>
        <v>3369446000</v>
      </c>
      <c r="V18" s="41">
        <f t="shared" si="7"/>
        <v>0</v>
      </c>
      <c r="W18" s="41">
        <f t="shared" si="8"/>
        <v>0</v>
      </c>
      <c r="X18" s="41">
        <f t="shared" si="0"/>
        <v>0</v>
      </c>
      <c r="Y18" s="37" t="str">
        <f t="shared" si="9"/>
        <v/>
      </c>
      <c r="Z18" s="41">
        <f t="shared" si="1"/>
        <v>0</v>
      </c>
      <c r="AA18" s="39">
        <f t="shared" si="10"/>
        <v>45.511503416856492</v>
      </c>
      <c r="AB18" s="37" t="str">
        <f t="shared" si="11"/>
        <v/>
      </c>
      <c r="AC18" s="37" t="str">
        <f t="shared" si="12"/>
        <v/>
      </c>
      <c r="AD18" s="38">
        <f>IFERROR(INDEX('Prior YTD Data Pull'!$A$2:$CB$605,MATCH('Prior YTD Data Table'!$C18,'Prior YTD Data Pull'!$A$2:$A$605,0),MATCH("Net Patient Service Revenue",'Prior YTD Data Pull'!$A$1:$CB$1,0)),"")</f>
        <v>2142489000</v>
      </c>
      <c r="AE18" s="38">
        <f>IFERROR(INDEX('Prior YTD Data Pull'!$A$2:$CB$605,MATCH('Prior YTD Data Table'!$C18,'Prior YTD Data Pull'!$A$2:$A$605,0),MATCH("Total Current Assets",'Prior YTD Data Pull'!$A$1:$CB$1,0)),"")</f>
        <v>0</v>
      </c>
      <c r="AF18" s="38">
        <f>IFERROR(INDEX('Prior YTD Data Pull'!$A$2:$CB$605,MATCH('Prior YTD Data Table'!$C18,'Prior YTD Data Pull'!$A$2:$A$605,0),MATCH("Total Current Liabilities",'Prior YTD Data Pull'!$A$1:$CB$1,0)),"")</f>
        <v>0</v>
      </c>
      <c r="AG18" s="38">
        <f>IFERROR(INDEX('Prior YTD Data Pull'!$A$2:$CB$605,MATCH('Prior YTD Data Table'!$C18,'Prior YTD Data Pull'!$A$2:$A$605,0),MATCH("Total Non Operating Revenue",'Prior YTD Data Pull'!$A$1:$CB$1,0)),"")</f>
        <v>104759000</v>
      </c>
      <c r="AH18" s="38">
        <f>IFERROR(INDEX('Prior YTD Data Pull'!$A$2:$CB$605,MATCH('Prior YTD Data Table'!$C18,'Prior Year Data Pull'!$A$2:$A$593,0),MATCH("Less Accumulated Depreciation",'Prior YTD Data Pull'!$A$1:$CB$1,0)),"")</f>
        <v>0</v>
      </c>
      <c r="AI18" s="38">
        <f>IFERROR(INDEX('Prior YTD Data Pull'!$A$2:$CB$605,MATCH('Prior YTD Data Table'!$C18,'Prior YTD Data Pull'!$A$2:$A$605,0),MATCH("Depreciation and Amortization Expense",'Prior YTD Data Pull'!$A$1:$CB$1,0)),"")</f>
        <v>133410000</v>
      </c>
      <c r="AJ18" s="38">
        <f>IFERROR(INDEX('Prior YTD Data Pull'!$A$2:$CB$605,MATCH('Prior YTD Data Table'!$C18,'Prior YTD Data Pull'!$A$2:$A$605,0),MATCH("Net Patient Accounts Receivable",'Prior YTD Data Pull'!$A$1:$CB$1,0)),"")</f>
        <v>0</v>
      </c>
      <c r="AK18" s="14" t="str">
        <f>IF('Prior YTD Data Pull'!$H18 = 6, "183", IF('Prior YTD Data Pull'!$H18 = 3, "93",""))</f>
        <v>183</v>
      </c>
      <c r="AL18" s="38">
        <f>IFERROR(INDEX('Prior YTD Data Pull'!$A$2:$CB$605,MATCH('Prior YTD Data Table'!$C18,'Prior YTD Data Pull'!$A$2:$A$605,0),MATCH("Estimated Third Party Settlements",'Prior YTD Data Pull'!$A$1:$CB$1,0)),"")</f>
        <v>0</v>
      </c>
      <c r="AM18" s="38">
        <f>IFERROR(INDEX('Prior YTD Data Pull'!$A$2:$CB$605,MATCH('Prior YTD Data Table'!$C18,'Prior YTD Data Pull'!$A$2:$A$605,0),MATCH("Current Liabilities due to Affiliates",'Prior YTD Data Pull'!$A$1:$CB$1,0)),"")</f>
        <v>0</v>
      </c>
      <c r="AN18" s="38">
        <f>IFERROR(INDEX('Prior YTD Data Pull'!$A$2:$CB$605,MATCH('Prior YTD Data Table'!$C18,'Prior YTD Data Pull'!$A$2:$A$605,0),MATCH("Short Term Investments",'Prior YTD Data Pull'!$A$1:$CB$1,0)),"")</f>
        <v>0</v>
      </c>
      <c r="AO18" s="38">
        <f>IFERROR(INDEX('Prior YTD Data Pull'!$A$2:$CB$605,MATCH('Prior YTD Data Table'!$C18,'Prior YTD Data Pull'!$A$2:$A$605,0),MATCH("Cash and Cash Equivalents",'Prior YTD Data Pull'!$A$1:$CB$1,0)),"")</f>
        <v>0</v>
      </c>
      <c r="AP18" s="38">
        <f>IFERROR(INDEX('Prior YTD Data Pull'!$A$2:$CB$605,MATCH('Prior YTD Data Table'!$C18,'Prior YTD Data Pull'!$A$2:$A$605,0),MATCH("Interest Expense",'Prior YTD Data Pull'!$A$1:$CB$1,0)),"")</f>
        <v>8780000</v>
      </c>
      <c r="AQ18" s="38">
        <f>IFERROR(INDEX('Prior YTD Data Pull'!$A$2:$CB$605,MATCH('Prior YTD Data Table'!$C18,'Prior YTD Data Pull'!$A$2:$A$605,0),MATCH("Long Term Debt Net of Current Portion",'Prior YTD Data Pull'!$A$1:$CB$1,0)),"")</f>
        <v>0</v>
      </c>
      <c r="AR18" s="38">
        <f>IFERROR(INDEX('Prior YTD Data Pull'!$A$2:$CB$605,MATCH('Prior YTD Data Table'!$C18,'Prior YTD Data Pull'!$A$2:$A$605,0),MATCH("Total Assets",'Prior YTD Data Pull'!$A$1:$CB$1,0)),"")</f>
        <v>0</v>
      </c>
      <c r="AS18" s="38">
        <f>IFERROR(INDEX('Prior YTD Data Pull'!$A$2:$CB$605,MATCH('Prior YTD Data Table'!$C18,'Prior YTD Data Pull'!$A$2:$A$605,0),MATCH("Long Term Debt Net of Current Portion",'Prior YTD Data Pull'!$A$1:$CB$1,0)),"")</f>
        <v>0</v>
      </c>
      <c r="AT18" s="38">
        <f>IFERROR(INDEX('Prior YTD Data Pull'!$A$2:$CB$605,MATCH('Prior YTD Data Table'!$C18,'Prior YTD Data Pull'!$A$2:$A$605,0),MATCH("Net Unrestricted Assets",'Prior YTD Data Pull'!$A$1:$CB$1,0)),"")</f>
        <v>0</v>
      </c>
      <c r="AU18" s="38">
        <f>IFERROR(INDEX('Prior YTD Data Pull'!$A$2:$CB$605,MATCH('Prior YTD Data Table'!$C18,'Prior YTD Data Pull'!$A$2:$A$605,0),MATCH("Unrealized Gains/Losses",'Prior YTD Data Pull'!$A$1:$CB$1,0)),"")</f>
        <v>-3451000</v>
      </c>
      <c r="AV18" s="38">
        <f>IFERROR(INDEX('Prior YTD Data Pull'!$A$2:$CB$605,MATCH('Prior YTD Data Table'!$C18,'Prior YTD Data Pull'!$A$2:$A$605,0),MATCH("Salary and Benefit Expense",'Prior YTD Data Pull'!$A$1:$CB$1,0)),"")</f>
        <v>1118931000</v>
      </c>
      <c r="AW18" s="38"/>
      <c r="AX18" s="38"/>
      <c r="AY18" s="38"/>
      <c r="AZ18" s="38"/>
    </row>
    <row r="19" spans="1:52" ht="34.200000000000003" x14ac:dyDescent="0.3">
      <c r="A19" s="14" t="str">
        <f>IFERROR(INDEX('Static Data Tab'!$N$2:$N$610,MATCH(D19,'Static Data Tab'!$D$2:$D$610,0)), "")</f>
        <v xml:space="preserve">Baystate Health </v>
      </c>
      <c r="B19" s="57" t="s">
        <v>76</v>
      </c>
      <c r="C19" s="57">
        <v>5</v>
      </c>
      <c r="D19" s="57">
        <v>4066</v>
      </c>
      <c r="E19" s="14" t="str">
        <f>IFERROR(INDEX('Prior YTD Data Pull'!$A$1:$CB$605,MATCH('Prior YTD Data Table'!$C19,'Prior YTD Data Pull'!$A$1:$A$605,0),MATCH("Organization Type",'Prior YTD Data Pull'!$A$1:$CB$1,0)),"")</f>
        <v>AcuteHospital</v>
      </c>
      <c r="F19" s="14" t="str">
        <f>IFERROR(INDEX('Static Data Tab'!$E$2:$E$610,MATCH('Prior YTD Data Table'!$C19,'Static Data Tab'!$B$2:$B$610,0)), "-")</f>
        <v>Community-High Public Payer Hospital</v>
      </c>
      <c r="G19" s="46" t="str">
        <f>IFERROR(INDEX('Static Data Tab'!$J$2:$J$610,MATCH('Prior YTD Data Table'!$C19,'Static Data Tab'!$B$2:$B$610,0)), "")</f>
        <v>Western Massachusetts</v>
      </c>
      <c r="H19" s="14" t="str">
        <f>IFERROR(INDEX('Static Data Tab'!$F$2:$F$610,MATCH('Prior YTD Data Table'!$C19,'Static Data Tab'!$B$2:$B$610,0)), "")</f>
        <v>x</v>
      </c>
      <c r="I19" s="14">
        <f>IFERROR(INDEX('Static Data Tab'!$G$2:$G$610,MATCH('Prior YTD Data Table'!$C19,'Static Data Tab'!$B$2:$B$610,0)), "")</f>
        <v>0</v>
      </c>
      <c r="J19" s="14" t="str">
        <f>IFERROR(INDEX('Prior YTD Data Pull'!$A$2:$CB$605,MATCH('Prior YTD Data Table'!$C19,'Prior YTD Data Pull'!$A$2:$A$605,0),MATCH("Quarter Range",'Prior YTD Data Pull'!$A$1:$CB$1,0)),"")</f>
        <v xml:space="preserve">10/01/2024-03/31/2025
</v>
      </c>
      <c r="K19" s="37">
        <f t="shared" si="2"/>
        <v>1.9882603056599231E-2</v>
      </c>
      <c r="L19" s="37">
        <f t="shared" si="3"/>
        <v>-8.0225701640615602E-5</v>
      </c>
      <c r="M19" s="37">
        <f t="shared" si="4"/>
        <v>1.9802377354958618E-2</v>
      </c>
      <c r="N19" s="38">
        <f t="shared" si="5"/>
        <v>1481000</v>
      </c>
      <c r="O19" s="39">
        <f t="shared" si="6"/>
        <v>1.6432195975503061</v>
      </c>
      <c r="P19" s="38">
        <f>IFERROR(INDEX('Prior YTD Data Pull'!$A$2:$CB$605,MATCH('Prior YTD Data Table'!$C19,'Prior YTD Data Pull'!$A$2:$A$605,0),MATCH("Total Net Assets or Equity",'Prior YTD Data Pull'!$A$1:$CB$1,0)),"")</f>
        <v>58077000</v>
      </c>
      <c r="Q19" s="38">
        <f>IFERROR(INDEX('Prior YTD Data Pull'!$A$2:$CB$605,MATCH('Prior YTD Data Table'!$C19,'Prior YTD Data Pull'!$A$2:$A$605,0),MATCH("Total Operating Revenue",'Prior YTD Data Pull'!$A$1:$CB$1,0)),"")</f>
        <v>74795000</v>
      </c>
      <c r="R19" s="38">
        <f>IFERROR(INDEX('Prior YTD Data Pull'!$A$2:$CB$605,MATCH('Prior YTD Data Table'!$C19,'Prior YTD Data Pull'!$A$2:$A$605,0),MATCH("Total Unrestricted Revenue Gains and Other Support",'Prior YTD Data Pull'!$A$1:$CB$1,0)),"")</f>
        <v>74789000</v>
      </c>
      <c r="S19" s="38">
        <f>IFERROR(INDEX('Prior YTD TS Data Pull'!$J$2:$J$128,MATCH('Prior YTD Data Table'!$C19, 'Prior YTD TS Data Pull'!$A$2:$A$128,0))+INDEX('Prior YTD TS Data Pull'!$N$2:$N$128,MATCH('Prior YTD Data Table'!$C19,'Prior YTD TS Data Pull'!$A$2:$A$609,0))+INDEX('Prior YTD TS Data Pull'!$R$2:$R$128,MATCH('Prior YTD Data Table'!$C19,'Prior YTD TS Data Pull'!$A$2:$A$609,0)),"")</f>
        <v>1251954</v>
      </c>
      <c r="T19" s="38">
        <f>IF(INDEX('Prior YTD TS Data Pull'!$A$1:$O$609,MATCH('Prior YTD Data Table'!$C19,'Prior YTD TS Data Pull'!$A$1:$A$609,0),MATCH("Temporary RN Staffing:
Line Reported on in Standardized Financials",'Prior YTD TS Data Pull'!$A$1:$O$1,0))="66.1: Salary and Benefit Expense",'Prior YTD Data Table'!$AV19-'Prior YTD Data Table'!$S19,0)</f>
        <v>0</v>
      </c>
      <c r="U19" s="38">
        <f>IFERROR(INDEX('Prior YTD Data Pull'!$A$2:$CB$605,MATCH('Prior YTD Data Table'!$C19,'Prior YTD Data Pull'!$A$2:$A$605,0),MATCH("Total Expenses Including Nonrecurring Gains Losses",'Prior YTD Data Pull'!$A$1:$CB$1,0)),"")</f>
        <v>73308000</v>
      </c>
      <c r="V19" s="41">
        <f t="shared" si="7"/>
        <v>500.2137203166227</v>
      </c>
      <c r="W19" s="41">
        <f t="shared" si="8"/>
        <v>35.803337466573048</v>
      </c>
      <c r="X19" s="41">
        <f t="shared" si="0"/>
        <v>36.791156347664497</v>
      </c>
      <c r="Y19" s="37">
        <f t="shared" si="9"/>
        <v>0.19855690735766576</v>
      </c>
      <c r="Z19" s="41">
        <f t="shared" si="1"/>
        <v>19.383562800912241</v>
      </c>
      <c r="AA19" s="39">
        <f t="shared" si="10"/>
        <v>0.24505645498536352</v>
      </c>
      <c r="AB19" s="37">
        <f t="shared" si="11"/>
        <v>0.63223383409536249</v>
      </c>
      <c r="AC19" s="37">
        <f t="shared" si="12"/>
        <v>0.29510054318500667</v>
      </c>
      <c r="AD19" s="38">
        <f>IFERROR(INDEX('Prior YTD Data Pull'!$A$2:$CB$605,MATCH('Prior YTD Data Table'!$C19,'Prior YTD Data Pull'!$A$2:$A$605,0),MATCH("Net Patient Service Revenue",'Prior YTD Data Pull'!$A$1:$CB$1,0)),"")</f>
        <v>66937000</v>
      </c>
      <c r="AE19" s="38">
        <f>IFERROR(INDEX('Prior YTD Data Pull'!$A$2:$CB$605,MATCH('Prior YTD Data Table'!$C19,'Prior YTD Data Pull'!$A$2:$A$605,0),MATCH("Total Current Assets",'Prior YTD Data Pull'!$A$1:$CB$1,0)),"")</f>
        <v>28173000</v>
      </c>
      <c r="AF19" s="38">
        <f>IFERROR(INDEX('Prior YTD Data Pull'!$A$2:$CB$605,MATCH('Prior YTD Data Table'!$C19,'Prior YTD Data Pull'!$A$2:$A$605,0),MATCH("Total Current Liabilities",'Prior YTD Data Pull'!$A$1:$CB$1,0)),"")</f>
        <v>17145000</v>
      </c>
      <c r="AG19" s="38">
        <f>IFERROR(INDEX('Prior YTD Data Pull'!$A$2:$CB$605,MATCH('Prior YTD Data Table'!$C19,'Prior YTD Data Pull'!$A$2:$A$605,0),MATCH("Total Non Operating Revenue",'Prior YTD Data Pull'!$A$1:$CB$1,0)),"")</f>
        <v>-6000</v>
      </c>
      <c r="AH19" s="38">
        <f>IFERROR(INDEX('Prior YTD Data Pull'!$A$2:$CB$605,MATCH('Prior YTD Data Table'!$C19,'Prior Year Data Pull'!$A$2:$A$593,0),MATCH("Less Accumulated Depreciation",'Prior YTD Data Pull'!$A$1:$CB$1,0)),"")</f>
        <v>1137486000</v>
      </c>
      <c r="AI19" s="38">
        <f>IFERROR(INDEX('Prior YTD Data Pull'!$A$2:$CB$605,MATCH('Prior YTD Data Table'!$C19,'Prior YTD Data Pull'!$A$2:$A$605,0),MATCH("Depreciation and Amortization Expense",'Prior YTD Data Pull'!$A$1:$CB$1,0)),"")</f>
        <v>2274000</v>
      </c>
      <c r="AJ19" s="38">
        <f>IFERROR(INDEX('Prior YTD Data Pull'!$A$2:$CB$605,MATCH('Prior YTD Data Table'!$C19,'Prior YTD Data Pull'!$A$2:$A$605,0),MATCH("Net Patient Accounts Receivable",'Prior YTD Data Pull'!$A$1:$CB$1,0)),"")</f>
        <v>13096000</v>
      </c>
      <c r="AK19" s="14" t="str">
        <f>IF('Prior YTD Data Pull'!$H19 = 6, "183", IF('Prior YTD Data Pull'!$H19 = 3, "93",""))</f>
        <v>183</v>
      </c>
      <c r="AL19" s="38">
        <f>IFERROR(INDEX('Prior YTD Data Pull'!$A$2:$CB$605,MATCH('Prior YTD Data Table'!$C19,'Prior YTD Data Pull'!$A$2:$A$605,0),MATCH("Estimated Third Party Settlements",'Prior YTD Data Pull'!$A$1:$CB$1,0)),"")</f>
        <v>2864000</v>
      </c>
      <c r="AM19" s="38">
        <f>IFERROR(INDEX('Prior YTD Data Pull'!$A$2:$CB$605,MATCH('Prior YTD Data Table'!$C19,'Prior YTD Data Pull'!$A$2:$A$605,0),MATCH("Current Liabilities due to Affiliates",'Prior YTD Data Pull'!$A$1:$CB$1,0)),"")</f>
        <v>2580000</v>
      </c>
      <c r="AN19" s="38">
        <f>IFERROR(INDEX('Prior YTD Data Pull'!$A$2:$CB$605,MATCH('Prior YTD Data Table'!$C19,'Prior YTD Data Pull'!$A$2:$A$605,0),MATCH("Short Term Investments",'Prior YTD Data Pull'!$A$1:$CB$1,0)),"")</f>
        <v>461000</v>
      </c>
      <c r="AO19" s="38">
        <f>IFERROR(INDEX('Prior YTD Data Pull'!$A$2:$CB$605,MATCH('Prior YTD Data Table'!$C19,'Prior YTD Data Pull'!$A$2:$A$605,0),MATCH("Cash and Cash Equivalents",'Prior YTD Data Pull'!$A$1:$CB$1,0)),"")</f>
        <v>7063000</v>
      </c>
      <c r="AP19" s="38">
        <f>IFERROR(INDEX('Prior YTD Data Pull'!$A$2:$CB$605,MATCH('Prior YTD Data Table'!$C19,'Prior YTD Data Pull'!$A$2:$A$605,0),MATCH("Interest Expense",'Prior YTD Data Pull'!$A$1:$CB$1,0)),"")</f>
        <v>332000</v>
      </c>
      <c r="AQ19" s="38">
        <f>IFERROR(INDEX('Prior YTD Data Pull'!$A$2:$CB$605,MATCH('Prior YTD Data Table'!$C19,'Prior YTD Data Pull'!$A$2:$A$605,0),MATCH("Long Term Debt Net of Current Portion",'Prior YTD Data Pull'!$A$1:$CB$1,0)),"")</f>
        <v>16407000</v>
      </c>
      <c r="AR19" s="38">
        <f>IFERROR(INDEX('Prior YTD Data Pull'!$A$2:$CB$605,MATCH('Prior YTD Data Table'!$C19,'Prior YTD Data Pull'!$A$2:$A$605,0),MATCH("Total Assets",'Prior YTD Data Pull'!$A$1:$CB$1,0)),"")</f>
        <v>91860000</v>
      </c>
      <c r="AS19" s="38">
        <f>IFERROR(INDEX('Prior YTD Data Pull'!$A$2:$CB$605,MATCH('Prior YTD Data Table'!$C19,'Prior YTD Data Pull'!$A$2:$A$605,0),MATCH("Long Term Debt Net of Current Portion",'Prior YTD Data Pull'!$A$1:$CB$1,0)),"")</f>
        <v>16407000</v>
      </c>
      <c r="AT19" s="38">
        <f>IFERROR(INDEX('Prior YTD Data Pull'!$A$2:$CB$605,MATCH('Prior YTD Data Table'!$C19,'Prior YTD Data Pull'!$A$2:$A$605,0),MATCH("Net Unrestricted Assets",'Prior YTD Data Pull'!$A$1:$CB$1,0)),"")</f>
        <v>39191000</v>
      </c>
      <c r="AU19" s="38">
        <f>IFERROR(INDEX('Prior YTD Data Pull'!$A$2:$CB$605,MATCH('Prior YTD Data Table'!$C19,'Prior YTD Data Pull'!$A$2:$A$605,0),MATCH("Unrealized Gains/Losses",'Prior YTD Data Pull'!$A$1:$CB$1,0)),"")</f>
        <v>-15000</v>
      </c>
      <c r="AV19" s="38">
        <f>IFERROR(INDEX('Prior YTD Data Pull'!$A$2:$CB$605,MATCH('Prior YTD Data Table'!$C19,'Prior YTD Data Pull'!$A$2:$A$605,0),MATCH("Salary and Benefit Expense",'Prior YTD Data Pull'!$A$1:$CB$1,0)),"")</f>
        <v>27949000</v>
      </c>
      <c r="AW19" s="47"/>
      <c r="AX19" s="47"/>
      <c r="AY19" s="47"/>
      <c r="AZ19" s="47"/>
    </row>
    <row r="20" spans="1:52" ht="34.200000000000003" x14ac:dyDescent="0.3">
      <c r="A20" s="14" t="str">
        <f>IFERROR(INDEX('Static Data Tab'!$N$2:$N$610,MATCH(D20,'Static Data Tab'!$D$2:$D$610,0)), "")</f>
        <v>Berkshire Health Systems</v>
      </c>
      <c r="B20" s="14" t="s">
        <v>87</v>
      </c>
      <c r="C20" s="14">
        <v>8</v>
      </c>
      <c r="D20" s="14">
        <v>3106</v>
      </c>
      <c r="E20" s="14" t="str">
        <f>IFERROR(INDEX('Prior YTD Data Pull'!$A$1:$CB$605,MATCH('Prior YTD Data Table'!$C20,'Prior YTD Data Pull'!$A$1:$A$605,0),MATCH("Organization Type",'Prior YTD Data Pull'!$A$1:$CB$1,0)),"")</f>
        <v>AcuteHospital</v>
      </c>
      <c r="F20" s="14" t="str">
        <f>IFERROR(INDEX('Static Data Tab'!$E$2:$E$610,MATCH('Prior YTD Data Table'!$C20,'Static Data Tab'!$B$2:$B$610,0)), "-")</f>
        <v>Community-High Public Payer Hospital</v>
      </c>
      <c r="G20" s="46" t="str">
        <f>IFERROR(INDEX('Static Data Tab'!$J$2:$J$610,MATCH('Prior YTD Data Table'!$C20,'Static Data Tab'!$B$2:$B$610,0)), "")</f>
        <v>Western Massachusetts</v>
      </c>
      <c r="H20" s="14" t="str">
        <f>IFERROR(INDEX('Static Data Tab'!$F$2:$F$610,MATCH('Prior YTD Data Table'!$C20,'Static Data Tab'!$B$2:$B$610,0)), "")</f>
        <v>x</v>
      </c>
      <c r="I20" s="14">
        <f>IFERROR(INDEX('Static Data Tab'!$G$2:$G$610,MATCH('Prior YTD Data Table'!$C20,'Static Data Tab'!$B$2:$B$610,0)), "")</f>
        <v>0</v>
      </c>
      <c r="J20" s="14" t="str">
        <f>IFERROR(INDEX('Prior YTD Data Pull'!$A$2:$CB$605,MATCH('Prior YTD Data Table'!$C20,'Prior YTD Data Pull'!$A$2:$A$605,0),MATCH("Quarter Range",'Prior YTD Data Pull'!$A$1:$CB$1,0)),"")</f>
        <v xml:space="preserve">10/01/2024-03/31/2025
</v>
      </c>
      <c r="K20" s="37">
        <f t="shared" si="2"/>
        <v>0.11438514569034859</v>
      </c>
      <c r="L20" s="37">
        <f t="shared" si="3"/>
        <v>-9.9940587617385768E-3</v>
      </c>
      <c r="M20" s="37">
        <f t="shared" si="4"/>
        <v>0.10439108692861002</v>
      </c>
      <c r="N20" s="38">
        <f t="shared" si="5"/>
        <v>4970194</v>
      </c>
      <c r="O20" s="39">
        <f t="shared" si="6"/>
        <v>3.8128517719512227</v>
      </c>
      <c r="P20" s="38">
        <f>IFERROR(INDEX('Prior YTD Data Pull'!$A$2:$CB$605,MATCH('Prior YTD Data Table'!$C20,'Prior YTD Data Pull'!$A$2:$A$605,0),MATCH("Total Net Assets or Equity",'Prior YTD Data Pull'!$A$1:$CB$1,0)),"")</f>
        <v>105370913</v>
      </c>
      <c r="Q20" s="38">
        <f>IFERROR(INDEX('Prior YTD Data Pull'!$A$2:$CB$605,MATCH('Prior YTD Data Table'!$C20,'Prior YTD Data Pull'!$A$2:$A$605,0),MATCH("Total Operating Revenue",'Prior YTD Data Pull'!$A$1:$CB$1,0)),"")</f>
        <v>48087117</v>
      </c>
      <c r="R20" s="38">
        <f>IFERROR(INDEX('Prior YTD Data Pull'!$A$2:$CB$605,MATCH('Prior YTD Data Table'!$C20,'Prior YTD Data Pull'!$A$2:$A$605,0),MATCH("Total Unrestricted Revenue Gains and Other Support",'Prior YTD Data Pull'!$A$1:$CB$1,0)),"")</f>
        <v>47611287</v>
      </c>
      <c r="S20" s="38">
        <f>IFERROR(INDEX('Prior YTD TS Data Pull'!$J$2:$J$128,MATCH('Prior YTD Data Table'!$C20, 'Prior YTD TS Data Pull'!$A$2:$A$128,0))+INDEX('Prior YTD TS Data Pull'!$N$2:$N$128,MATCH('Prior YTD Data Table'!$C20,'Prior YTD TS Data Pull'!$A$2:$A$609,0))+INDEX('Prior YTD TS Data Pull'!$R$2:$R$128,MATCH('Prior YTD Data Table'!$C20,'Prior YTD TS Data Pull'!$A$2:$A$609,0)),"")</f>
        <v>872105</v>
      </c>
      <c r="T20" s="38">
        <f>IF(INDEX('Prior YTD TS Data Pull'!$A$1:$O$609,MATCH('Prior YTD Data Table'!$C20,'Prior YTD TS Data Pull'!$A$1:$A$609,0),MATCH("Temporary RN Staffing:
Line Reported on in Standardized Financials",'Prior YTD TS Data Pull'!$A$1:$O$1,0))="66.1: Salary and Benefit Expense",'Prior YTD Data Table'!$AV20-'Prior YTD Data Table'!$S20,0)</f>
        <v>0</v>
      </c>
      <c r="U20" s="38">
        <f>IFERROR(INDEX('Prior YTD Data Pull'!$A$2:$CB$605,MATCH('Prior YTD Data Table'!$C20,'Prior YTD Data Pull'!$A$2:$A$605,0),MATCH("Total Expenses Including Nonrecurring Gains Losses",'Prior YTD Data Pull'!$A$1:$CB$1,0)),"")</f>
        <v>42641093</v>
      </c>
      <c r="V20" s="41">
        <f t="shared" si="7"/>
        <v>573.66410525101332</v>
      </c>
      <c r="W20" s="41">
        <f t="shared" si="8"/>
        <v>38.967130170876082</v>
      </c>
      <c r="X20" s="41">
        <f t="shared" si="0"/>
        <v>34.318352900886232</v>
      </c>
      <c r="Y20" s="37">
        <f t="shared" si="9"/>
        <v>5.4612566813160708</v>
      </c>
      <c r="Z20" s="41">
        <f t="shared" si="1"/>
        <v>260.08495519509802</v>
      </c>
      <c r="AA20" s="39">
        <f t="shared" si="10"/>
        <v>5.436547132079439</v>
      </c>
      <c r="AB20" s="37">
        <f t="shared" si="11"/>
        <v>0.82068754125015397</v>
      </c>
      <c r="AC20" s="37">
        <f t="shared" si="12"/>
        <v>1.7060519675709492E-2</v>
      </c>
      <c r="AD20" s="38">
        <f>IFERROR(INDEX('Prior YTD Data Pull'!$A$2:$CB$605,MATCH('Prior YTD Data Table'!$C20,'Prior YTD Data Pull'!$A$2:$A$605,0),MATCH("Net Patient Service Revenue",'Prior YTD Data Pull'!$A$1:$CB$1,0)),"")</f>
        <v>40933465</v>
      </c>
      <c r="AE20" s="38">
        <f>IFERROR(INDEX('Prior YTD Data Pull'!$A$2:$CB$605,MATCH('Prior YTD Data Table'!$C20,'Prior YTD Data Pull'!$A$2:$A$605,0),MATCH("Total Current Assets",'Prior YTD Data Pull'!$A$1:$CB$1,0)),"")</f>
        <v>70074054</v>
      </c>
      <c r="AF20" s="38">
        <f>IFERROR(INDEX('Prior YTD Data Pull'!$A$2:$CB$605,MATCH('Prior YTD Data Table'!$C20,'Prior YTD Data Pull'!$A$2:$A$605,0),MATCH("Total Current Liabilities",'Prior YTD Data Pull'!$A$1:$CB$1,0)),"")</f>
        <v>18378384</v>
      </c>
      <c r="AG20" s="38">
        <f>IFERROR(INDEX('Prior YTD Data Pull'!$A$2:$CB$605,MATCH('Prior YTD Data Table'!$C20,'Prior YTD Data Pull'!$A$2:$A$605,0),MATCH("Total Non Operating Revenue",'Prior YTD Data Pull'!$A$1:$CB$1,0)),"")</f>
        <v>-475830</v>
      </c>
      <c r="AH20" s="38">
        <f>IFERROR(INDEX('Prior YTD Data Pull'!$A$2:$CB$605,MATCH('Prior YTD Data Table'!$C20,'Prior Year Data Pull'!$A$2:$A$593,0),MATCH("Less Accumulated Depreciation",'Prior YTD Data Pull'!$A$1:$CB$1,0)),"")</f>
        <v>601641130</v>
      </c>
      <c r="AI20" s="38">
        <f>IFERROR(INDEX('Prior YTD Data Pull'!$A$2:$CB$605,MATCH('Prior YTD Data Table'!$C20,'Prior YTD Data Pull'!$A$2:$A$605,0),MATCH("Depreciation and Amortization Expense",'Prior YTD Data Pull'!$A$1:$CB$1,0)),"")</f>
        <v>1048769</v>
      </c>
      <c r="AJ20" s="38">
        <f>IFERROR(INDEX('Prior YTD Data Pull'!$A$2:$CB$605,MATCH('Prior YTD Data Table'!$C20,'Prior YTD Data Pull'!$A$2:$A$605,0),MATCH("Net Patient Accounts Receivable",'Prior YTD Data Pull'!$A$1:$CB$1,0)),"")</f>
        <v>8716173</v>
      </c>
      <c r="AK20" s="14" t="str">
        <f>IF('Prior YTD Data Pull'!$H20 = 6, "183", IF('Prior YTD Data Pull'!$H20 = 3, "93",""))</f>
        <v>183</v>
      </c>
      <c r="AL20" s="38">
        <f>IFERROR(INDEX('Prior YTD Data Pull'!$A$2:$CB$605,MATCH('Prior YTD Data Table'!$C20,'Prior YTD Data Pull'!$A$2:$A$605,0),MATCH("Estimated Third Party Settlements",'Prior YTD Data Pull'!$A$1:$CB$1,0)),"")</f>
        <v>10578493</v>
      </c>
      <c r="AM20" s="38">
        <f>IFERROR(INDEX('Prior YTD Data Pull'!$A$2:$CB$605,MATCH('Prior YTD Data Table'!$C20,'Prior YTD Data Pull'!$A$2:$A$605,0),MATCH("Current Liabilities due to Affiliates",'Prior YTD Data Pull'!$A$1:$CB$1,0)),"")</f>
        <v>0</v>
      </c>
      <c r="AN20" s="38">
        <f>IFERROR(INDEX('Prior YTD Data Pull'!$A$2:$CB$605,MATCH('Prior YTD Data Table'!$C20,'Prior YTD Data Pull'!$A$2:$A$605,0),MATCH("Short Term Investments",'Prior YTD Data Pull'!$A$1:$CB$1,0)),"")</f>
        <v>0</v>
      </c>
      <c r="AO20" s="38">
        <f>IFERROR(INDEX('Prior YTD Data Pull'!$A$2:$CB$605,MATCH('Prior YTD Data Table'!$C20,'Prior YTD Data Pull'!$A$2:$A$605,0),MATCH("Cash and Cash Equivalents",'Prior YTD Data Pull'!$A$1:$CB$1,0)),"")</f>
        <v>59112228</v>
      </c>
      <c r="AP20" s="38">
        <f>IFERROR(INDEX('Prior YTD Data Pull'!$A$2:$CB$605,MATCH('Prior YTD Data Table'!$C20,'Prior YTD Data Pull'!$A$2:$A$605,0),MATCH("Interest Expense",'Prior YTD Data Pull'!$A$1:$CB$1,0)),"")</f>
        <v>9378</v>
      </c>
      <c r="AQ20" s="38">
        <f>IFERROR(INDEX('Prior YTD Data Pull'!$A$2:$CB$605,MATCH('Prior YTD Data Table'!$C20,'Prior YTD Data Pull'!$A$2:$A$605,0),MATCH("Long Term Debt Net of Current Portion",'Prior YTD Data Pull'!$A$1:$CB$1,0)),"")</f>
        <v>1683800</v>
      </c>
      <c r="AR20" s="38">
        <f>IFERROR(INDEX('Prior YTD Data Pull'!$A$2:$CB$605,MATCH('Prior YTD Data Table'!$C20,'Prior YTD Data Pull'!$A$2:$A$605,0),MATCH("Total Assets",'Prior YTD Data Pull'!$A$1:$CB$1,0)),"")</f>
        <v>128393460</v>
      </c>
      <c r="AS20" s="38">
        <f>IFERROR(INDEX('Prior YTD Data Pull'!$A$2:$CB$605,MATCH('Prior YTD Data Table'!$C20,'Prior YTD Data Pull'!$A$2:$A$605,0),MATCH("Long Term Debt Net of Current Portion",'Prior YTD Data Pull'!$A$1:$CB$1,0)),"")</f>
        <v>1683800</v>
      </c>
      <c r="AT20" s="38">
        <f>IFERROR(INDEX('Prior YTD Data Pull'!$A$2:$CB$605,MATCH('Prior YTD Data Table'!$C20,'Prior YTD Data Pull'!$A$2:$A$605,0),MATCH("Net Unrestricted Assets",'Prior YTD Data Pull'!$A$1:$CB$1,0)),"")</f>
        <v>97011904</v>
      </c>
      <c r="AU20" s="38">
        <f>IFERROR(INDEX('Prior YTD Data Pull'!$A$2:$CB$605,MATCH('Prior YTD Data Table'!$C20,'Prior YTD Data Pull'!$A$2:$A$605,0),MATCH("Unrealized Gains/Losses",'Prior YTD Data Pull'!$A$1:$CB$1,0)),"")</f>
        <v>-3176701</v>
      </c>
      <c r="AV20" s="38">
        <f>IFERROR(INDEX('Prior YTD Data Pull'!$A$2:$CB$605,MATCH('Prior YTD Data Table'!$C20,'Prior YTD Data Pull'!$A$2:$A$605,0),MATCH("Salary and Benefit Expense",'Prior YTD Data Pull'!$A$1:$CB$1,0)),"")</f>
        <v>24448434</v>
      </c>
      <c r="AW20" s="38"/>
      <c r="AX20" s="38"/>
      <c r="AY20" s="38"/>
      <c r="AZ20" s="38"/>
    </row>
    <row r="21" spans="1:52" ht="34.200000000000003" x14ac:dyDescent="0.3">
      <c r="A21" s="14" t="str">
        <f>IFERROR(INDEX('Static Data Tab'!$N$2:$N$610,MATCH(D21,'Static Data Tab'!$D$2:$D$610,0)), "")</f>
        <v>Boston Medical Center Health System</v>
      </c>
      <c r="B21" s="57" t="s">
        <v>692</v>
      </c>
      <c r="C21" s="57">
        <v>8701</v>
      </c>
      <c r="D21" s="57">
        <v>14287</v>
      </c>
      <c r="E21" s="14" t="str">
        <f>IFERROR(INDEX('Prior YTD Data Pull'!$A$1:$CB$605,MATCH('Prior YTD Data Table'!$C21,'Prior YTD Data Pull'!$A$1:$A$605,0),MATCH("Organization Type",'Prior YTD Data Pull'!$A$1:$CB$1,0)),"")</f>
        <v>AcuteHospital</v>
      </c>
      <c r="F21" s="14" t="str">
        <f>IFERROR(INDEX('Static Data Tab'!$E$2:$E$610,MATCH('Prior YTD Data Table'!$C21,'Static Data Tab'!$B$2:$B$610,0)), "-")</f>
        <v>Community-High Public Payer Hospital</v>
      </c>
      <c r="G21" s="46" t="str">
        <f>IFERROR(INDEX('Static Data Tab'!$J$2:$J$610,MATCH('Prior YTD Data Table'!$C21,'Static Data Tab'!$B$2:$B$610,0)), "")</f>
        <v>Metro South</v>
      </c>
      <c r="H21" s="14" t="str">
        <f>IFERROR(INDEX('Static Data Tab'!$F$2:$F$610,MATCH('Prior YTD Data Table'!$C21,'Static Data Tab'!$B$2:$B$610,0)), "")</f>
        <v>x</v>
      </c>
      <c r="I21" s="14">
        <f>IFERROR(INDEX('Static Data Tab'!$G$2:$G$610,MATCH('Prior YTD Data Table'!$C21,'Static Data Tab'!$B$2:$B$610,0)), "")</f>
        <v>0</v>
      </c>
      <c r="J21" s="14" t="str">
        <f>IFERROR(INDEX('Prior YTD Data Pull'!$A$2:$CB$605,MATCH('Prior YTD Data Table'!$C21,'Prior YTD Data Pull'!$A$2:$A$605,0),MATCH("Quarter Range",'Prior YTD Data Pull'!$A$1:$CB$1,0)),"")</f>
        <v xml:space="preserve">10/01/2024-03/31/2025
</v>
      </c>
      <c r="K21" s="37">
        <f t="shared" si="2"/>
        <v>-0.23398107882116007</v>
      </c>
      <c r="L21" s="37">
        <f t="shared" si="3"/>
        <v>6.8736200720973428E-4</v>
      </c>
      <c r="M21" s="37">
        <f t="shared" si="4"/>
        <v>-0.23329371681395034</v>
      </c>
      <c r="N21" s="38">
        <f t="shared" si="5"/>
        <v>-33791106</v>
      </c>
      <c r="O21" s="39">
        <f t="shared" si="6"/>
        <v>0.51349005128089009</v>
      </c>
      <c r="P21" s="38">
        <f>IFERROR(INDEX('Prior YTD Data Pull'!$A$2:$CB$605,MATCH('Prior YTD Data Table'!$C21,'Prior YTD Data Pull'!$A$2:$A$605,0),MATCH("Total Net Assets or Equity",'Prior YTD Data Pull'!$A$1:$CB$1,0)),"")</f>
        <v>-33791347</v>
      </c>
      <c r="Q21" s="38">
        <f>IFERROR(INDEX('Prior YTD Data Pull'!$A$2:$CB$605,MATCH('Prior YTD Data Table'!$C21,'Prior YTD Data Pull'!$A$2:$A$605,0),MATCH("Total Operating Revenue",'Prior YTD Data Pull'!$A$1:$CB$1,0)),"")</f>
        <v>144744058</v>
      </c>
      <c r="R21" s="38">
        <f>IFERROR(INDEX('Prior YTD Data Pull'!$A$2:$CB$605,MATCH('Prior YTD Data Table'!$C21,'Prior YTD Data Pull'!$A$2:$A$605,0),MATCH("Total Unrestricted Revenue Gains and Other Support",'Prior YTD Data Pull'!$A$1:$CB$1,0)),"")</f>
        <v>144843618</v>
      </c>
      <c r="S21" s="38">
        <f>IFERROR(INDEX('Prior YTD TS Data Pull'!$J$2:$J$128,MATCH('Prior YTD Data Table'!$C21, 'Prior YTD TS Data Pull'!$A$2:$A$128,0))+INDEX('Prior YTD TS Data Pull'!$N$2:$N$128,MATCH('Prior YTD Data Table'!$C21,'Prior YTD TS Data Pull'!$A$2:$A$609,0))+INDEX('Prior YTD TS Data Pull'!$R$2:$R$128,MATCH('Prior YTD Data Table'!$C21,'Prior YTD TS Data Pull'!$A$2:$A$609,0)),"")</f>
        <v>1756530</v>
      </c>
      <c r="T21" s="38">
        <f>IF(INDEX('Prior YTD TS Data Pull'!$A$1:$O$609,MATCH('Prior YTD Data Table'!$C21,'Prior YTD TS Data Pull'!$A$1:$A$609,0),MATCH("Temporary RN Staffing:
Line Reported on in Standardized Financials",'Prior YTD TS Data Pull'!$A$1:$O$1,0))="66.1: Salary and Benefit Expense",'Prior YTD Data Table'!$AV21-'Prior YTD Data Table'!$S21,0)</f>
        <v>108821065</v>
      </c>
      <c r="U21" s="38">
        <f>IFERROR(INDEX('Prior YTD Data Pull'!$A$2:$CB$605,MATCH('Prior YTD Data Table'!$C21,'Prior YTD Data Pull'!$A$2:$A$605,0),MATCH("Total Expenses Including Nonrecurring Gains Losses",'Prior YTD Data Pull'!$A$1:$CB$1,0)),"")</f>
        <v>178634724</v>
      </c>
      <c r="V21" s="41">
        <f t="shared" si="7"/>
        <v>33.932673221181375</v>
      </c>
      <c r="W21" s="41">
        <f t="shared" si="8"/>
        <v>66.326657459464016</v>
      </c>
      <c r="X21" s="41">
        <f t="shared" si="0"/>
        <v>66.294535185603962</v>
      </c>
      <c r="Y21" s="37">
        <f t="shared" si="9"/>
        <v>-1.0005611681056805</v>
      </c>
      <c r="Z21" s="41">
        <f t="shared" si="1"/>
        <v>20.99500492315229</v>
      </c>
      <c r="AA21" s="39">
        <f t="shared" si="10"/>
        <v>-2.8735329051001433</v>
      </c>
      <c r="AB21" s="37">
        <f t="shared" si="11"/>
        <v>-0.18033346763789829</v>
      </c>
      <c r="AC21" s="37">
        <f t="shared" si="12"/>
        <v>-0.46237705692401443</v>
      </c>
      <c r="AD21" s="38">
        <f>IFERROR(INDEX('Prior YTD Data Pull'!$A$2:$CB$605,MATCH('Prior YTD Data Table'!$C21,'Prior YTD Data Pull'!$A$2:$A$605,0),MATCH("Net Patient Service Revenue",'Prior YTD Data Pull'!$A$1:$CB$1,0)),"")</f>
        <v>144184220</v>
      </c>
      <c r="AE21" s="38">
        <f>IFERROR(INDEX('Prior YTD Data Pull'!$A$2:$CB$605,MATCH('Prior YTD Data Table'!$C21,'Prior YTD Data Pull'!$A$2:$A$605,0),MATCH("Total Current Assets",'Prior YTD Data Pull'!$A$1:$CB$1,0)),"")</f>
        <v>32654817</v>
      </c>
      <c r="AF21" s="38">
        <f>IFERROR(INDEX('Prior YTD Data Pull'!$A$2:$CB$605,MATCH('Prior YTD Data Table'!$C21,'Prior YTD Data Pull'!$A$2:$A$605,0),MATCH("Total Current Liabilities",'Prior YTD Data Pull'!$A$1:$CB$1,0)),"")</f>
        <v>63593865</v>
      </c>
      <c r="AG21" s="38">
        <f>IFERROR(INDEX('Prior YTD Data Pull'!$A$2:$CB$605,MATCH('Prior YTD Data Table'!$C21,'Prior YTD Data Pull'!$A$2:$A$605,0),MATCH("Total Non Operating Revenue",'Prior YTD Data Pull'!$A$1:$CB$1,0)),"")</f>
        <v>99560</v>
      </c>
      <c r="AH21" s="38">
        <f>IFERROR(INDEX('Prior YTD Data Pull'!$A$2:$CB$605,MATCH('Prior YTD Data Table'!$C21,'Prior Year Data Pull'!$A$2:$A$593,0),MATCH("Less Accumulated Depreciation",'Prior YTD Data Pull'!$A$1:$CB$1,0)),"")</f>
        <v>104841000</v>
      </c>
      <c r="AI21" s="38">
        <f>IFERROR(INDEX('Prior YTD Data Pull'!$A$2:$CB$605,MATCH('Prior YTD Data Table'!$C21,'Prior YTD Data Pull'!$A$2:$A$605,0),MATCH("Depreciation and Amortization Expense",'Prior YTD Data Pull'!$A$1:$CB$1,0)),"")</f>
        <v>3089677</v>
      </c>
      <c r="AJ21" s="38">
        <f>IFERROR(INDEX('Prior YTD Data Pull'!$A$2:$CB$605,MATCH('Prior YTD Data Table'!$C21,'Prior YTD Data Pull'!$A$2:$A$605,0),MATCH("Net Patient Accounts Receivable",'Prior YTD Data Pull'!$A$1:$CB$1,0)),"")</f>
        <v>52258237</v>
      </c>
      <c r="AK21" s="14" t="str">
        <f>IF('Prior YTD Data Pull'!$H21 = 6, "183", IF('Prior YTD Data Pull'!$H21 = 3, "93",""))</f>
        <v>183</v>
      </c>
      <c r="AL21" s="38">
        <f>IFERROR(INDEX('Prior YTD Data Pull'!$A$2:$CB$605,MATCH('Prior YTD Data Table'!$C21,'Prior YTD Data Pull'!$A$2:$A$605,0),MATCH("Estimated Third Party Settlements",'Prior YTD Data Pull'!$A$1:$CB$1,0)),"")</f>
        <v>0</v>
      </c>
      <c r="AM21" s="38">
        <f>IFERROR(INDEX('Prior YTD Data Pull'!$A$2:$CB$605,MATCH('Prior YTD Data Table'!$C21,'Prior YTD Data Pull'!$A$2:$A$605,0),MATCH("Current Liabilities due to Affiliates",'Prior YTD Data Pull'!$A$1:$CB$1,0)),"")</f>
        <v>20000000</v>
      </c>
      <c r="AN21" s="38">
        <f>IFERROR(INDEX('Prior YTD Data Pull'!$A$2:$CB$605,MATCH('Prior YTD Data Table'!$C21,'Prior YTD Data Pull'!$A$2:$A$605,0),MATCH("Short Term Investments",'Prior YTD Data Pull'!$A$1:$CB$1,0)),"")</f>
        <v>0</v>
      </c>
      <c r="AO21" s="38">
        <f>IFERROR(INDEX('Prior YTD Data Pull'!$A$2:$CB$605,MATCH('Prior YTD Data Table'!$C21,'Prior YTD Data Pull'!$A$2:$A$605,0),MATCH("Cash and Cash Equivalents",'Prior YTD Data Pull'!$A$1:$CB$1,0)),"")</f>
        <v>20139722</v>
      </c>
      <c r="AP21" s="38">
        <f>IFERROR(INDEX('Prior YTD Data Pull'!$A$2:$CB$605,MATCH('Prior YTD Data Table'!$C21,'Prior YTD Data Pull'!$A$2:$A$605,0),MATCH("Interest Expense",'Prior YTD Data Pull'!$A$1:$CB$1,0)),"")</f>
        <v>0</v>
      </c>
      <c r="AQ21" s="38">
        <f>IFERROR(INDEX('Prior YTD Data Pull'!$A$2:$CB$605,MATCH('Prior YTD Data Table'!$C21,'Prior YTD Data Pull'!$A$2:$A$605,0),MATCH("Long Term Debt Net of Current Portion",'Prior YTD Data Pull'!$A$1:$CB$1,0)),"")</f>
        <v>10684210</v>
      </c>
      <c r="AR21" s="38">
        <f>IFERROR(INDEX('Prior YTD Data Pull'!$A$2:$CB$605,MATCH('Prior YTD Data Table'!$C21,'Prior YTD Data Pull'!$A$2:$A$605,0),MATCH("Total Assets",'Prior YTD Data Pull'!$A$1:$CB$1,0)),"")</f>
        <v>187382561</v>
      </c>
      <c r="AS21" s="38">
        <f>IFERROR(INDEX('Prior YTD Data Pull'!$A$2:$CB$605,MATCH('Prior YTD Data Table'!$C21,'Prior YTD Data Pull'!$A$2:$A$605,0),MATCH("Long Term Debt Net of Current Portion",'Prior YTD Data Pull'!$A$1:$CB$1,0)),"")</f>
        <v>10684210</v>
      </c>
      <c r="AT21" s="38">
        <f>IFERROR(INDEX('Prior YTD Data Pull'!$A$2:$CB$605,MATCH('Prior YTD Data Table'!$C21,'Prior YTD Data Pull'!$A$2:$A$605,0),MATCH("Net Unrestricted Assets",'Prior YTD Data Pull'!$A$1:$CB$1,0)),"")</f>
        <v>-33791347</v>
      </c>
      <c r="AU21" s="38">
        <f>IFERROR(INDEX('Prior YTD Data Pull'!$A$2:$CB$605,MATCH('Prior YTD Data Table'!$C21,'Prior YTD Data Pull'!$A$2:$A$605,0),MATCH("Unrealized Gains/Losses",'Prior YTD Data Pull'!$A$1:$CB$1,0)),"")</f>
        <v>0</v>
      </c>
      <c r="AV21" s="38">
        <f>IFERROR(INDEX('Prior YTD Data Pull'!$A$2:$CB$605,MATCH('Prior YTD Data Table'!$C21,'Prior YTD Data Pull'!$A$2:$A$605,0),MATCH("Salary and Benefit Expense",'Prior YTD Data Pull'!$A$1:$CB$1,0)),"")</f>
        <v>110577595</v>
      </c>
      <c r="AW21" s="47"/>
      <c r="AX21" s="47"/>
      <c r="AY21" s="47"/>
      <c r="AZ21" s="47"/>
    </row>
    <row r="22" spans="1:52" ht="34.200000000000003" x14ac:dyDescent="0.3">
      <c r="A22" s="14" t="str">
        <f>IFERROR(INDEX('Static Data Tab'!$N$2:$N$610,MATCH(D22,'Static Data Tab'!$D$2:$D$610,0)), "")</f>
        <v>Heywood Healthcare</v>
      </c>
      <c r="B22" s="14" t="s">
        <v>135</v>
      </c>
      <c r="C22" s="14">
        <v>2</v>
      </c>
      <c r="D22" s="14">
        <v>12807</v>
      </c>
      <c r="E22" s="14" t="str">
        <f>IFERROR(INDEX('Prior YTD Data Pull'!$A$1:$CB$605,MATCH('Prior YTD Data Table'!$C22,'Prior YTD Data Pull'!$A$1:$A$605,0),MATCH("Organization Type",'Prior YTD Data Pull'!$A$1:$CB$1,0)),"")</f>
        <v>AcuteHospital</v>
      </c>
      <c r="F22" s="14" t="str">
        <f>IFERROR(INDEX('Static Data Tab'!$E$2:$E$610,MATCH('Prior YTD Data Table'!$C22,'Static Data Tab'!$B$2:$B$610,0)), "-")</f>
        <v>Community-High Public Payer Hospital</v>
      </c>
      <c r="G22" s="46" t="str">
        <f>IFERROR(INDEX('Static Data Tab'!$J$2:$J$610,MATCH('Prior YTD Data Table'!$C22,'Static Data Tab'!$B$2:$B$610,0)), "")</f>
        <v>Central Massachusetts</v>
      </c>
      <c r="H22" s="14" t="str">
        <f>IFERROR(INDEX('Static Data Tab'!$F$2:$F$610,MATCH('Prior YTD Data Table'!$C22,'Static Data Tab'!$B$2:$B$610,0)), "")</f>
        <v>x</v>
      </c>
      <c r="I22" s="14">
        <f>IFERROR(INDEX('Static Data Tab'!$G$2:$G$610,MATCH('Prior YTD Data Table'!$C22,'Static Data Tab'!$B$2:$B$610,0)), "")</f>
        <v>0</v>
      </c>
      <c r="J22" s="14" t="str">
        <f>IFERROR(INDEX('Prior YTD Data Pull'!$A$2:$CB$605,MATCH('Prior YTD Data Table'!$C22,'Prior YTD Data Pull'!$A$2:$A$605,0),MATCH("Quarter Range",'Prior YTD Data Pull'!$A$1:$CB$1,0)),"")</f>
        <v xml:space="preserve">10/01/2024-03/31/2025
</v>
      </c>
      <c r="K22" s="37">
        <f t="shared" si="2"/>
        <v>7.2793660128499846E-2</v>
      </c>
      <c r="L22" s="37">
        <f t="shared" si="3"/>
        <v>4.3827918330787492E-4</v>
      </c>
      <c r="M22" s="37">
        <f t="shared" si="4"/>
        <v>7.3231939311807714E-2</v>
      </c>
      <c r="N22" s="38">
        <f t="shared" si="5"/>
        <v>1652183</v>
      </c>
      <c r="O22" s="39">
        <f t="shared" si="6"/>
        <v>0.9738343965083095</v>
      </c>
      <c r="P22" s="38">
        <f>IFERROR(INDEX('Prior YTD Data Pull'!$A$2:$CB$605,MATCH('Prior YTD Data Table'!$C22,'Prior YTD Data Pull'!$A$2:$A$605,0),MATCH("Total Net Assets or Equity",'Prior YTD Data Pull'!$A$1:$CB$1,0)),"")</f>
        <v>13166737</v>
      </c>
      <c r="Q22" s="38">
        <f>IFERROR(INDEX('Prior YTD Data Pull'!$A$2:$CB$605,MATCH('Prior YTD Data Table'!$C22,'Prior YTD Data Pull'!$A$2:$A$605,0),MATCH("Total Operating Revenue",'Prior YTD Data Pull'!$A$1:$CB$1,0)),"")</f>
        <v>22551074</v>
      </c>
      <c r="R22" s="38">
        <f>IFERROR(INDEX('Prior YTD Data Pull'!$A$2:$CB$605,MATCH('Prior YTD Data Table'!$C22,'Prior YTD Data Pull'!$A$2:$A$605,0),MATCH("Total Unrestricted Revenue Gains and Other Support",'Prior YTD Data Pull'!$A$1:$CB$1,0)),"")</f>
        <v>22560962</v>
      </c>
      <c r="S22" s="38">
        <f>IFERROR(INDEX('Prior YTD TS Data Pull'!$J$2:$J$128,MATCH('Prior YTD Data Table'!$C22, 'Prior YTD TS Data Pull'!$A$2:$A$128,0))+INDEX('Prior YTD TS Data Pull'!$N$2:$N$128,MATCH('Prior YTD Data Table'!$C22,'Prior YTD TS Data Pull'!$A$2:$A$609,0))+INDEX('Prior YTD TS Data Pull'!$R$2:$R$128,MATCH('Prior YTD Data Table'!$C22,'Prior YTD TS Data Pull'!$A$2:$A$609,0)),"")</f>
        <v>103170</v>
      </c>
      <c r="T22" s="38">
        <f>IF(INDEX('Prior YTD TS Data Pull'!$A$1:$O$609,MATCH('Prior YTD Data Table'!$C22,'Prior YTD TS Data Pull'!$A$1:$A$609,0),MATCH("Temporary RN Staffing:
Line Reported on in Standardized Financials",'Prior YTD TS Data Pull'!$A$1:$O$1,0))="66.1: Salary and Benefit Expense",'Prior YTD Data Table'!$AV22-'Prior YTD Data Table'!$S22,0)</f>
        <v>0</v>
      </c>
      <c r="U22" s="38">
        <f>IFERROR(INDEX('Prior YTD Data Pull'!$A$2:$CB$605,MATCH('Prior YTD Data Table'!$C22,'Prior YTD Data Pull'!$A$2:$A$605,0),MATCH("Total Expenses Including Nonrecurring Gains Losses",'Prior YTD Data Pull'!$A$1:$CB$1,0)),"")</f>
        <v>20908779</v>
      </c>
      <c r="V22" s="41">
        <f t="shared" si="7"/>
        <v>45.151641559540316</v>
      </c>
      <c r="W22" s="41">
        <f t="shared" si="8"/>
        <v>41.480904730687783</v>
      </c>
      <c r="X22" s="41">
        <f t="shared" si="0"/>
        <v>101.00166853271949</v>
      </c>
      <c r="Y22" s="37">
        <f t="shared" si="9"/>
        <v>9.0518418578028541</v>
      </c>
      <c r="Z22" s="41">
        <f t="shared" si="1"/>
        <v>52.573115294351702</v>
      </c>
      <c r="AA22" s="39">
        <f t="shared" si="10"/>
        <v>9.0482588578252638</v>
      </c>
      <c r="AB22" s="37">
        <f t="shared" si="11"/>
        <v>0.44494347310611554</v>
      </c>
      <c r="AC22" s="37">
        <f t="shared" si="12"/>
        <v>1.9099445248361071E-2</v>
      </c>
      <c r="AD22" s="38">
        <f>IFERROR(INDEX('Prior YTD Data Pull'!$A$2:$CB$605,MATCH('Prior YTD Data Table'!$C22,'Prior YTD Data Pull'!$A$2:$A$605,0),MATCH("Net Patient Service Revenue",'Prior YTD Data Pull'!$A$1:$CB$1,0)),"")</f>
        <v>20796067</v>
      </c>
      <c r="AE22" s="38">
        <f>IFERROR(INDEX('Prior YTD Data Pull'!$A$2:$CB$605,MATCH('Prior YTD Data Table'!$C22,'Prior YTD Data Pull'!$A$2:$A$605,0),MATCH("Total Current Assets",'Prior YTD Data Pull'!$A$1:$CB$1,0)),"")</f>
        <v>11602263</v>
      </c>
      <c r="AF22" s="38">
        <f>IFERROR(INDEX('Prior YTD Data Pull'!$A$2:$CB$605,MATCH('Prior YTD Data Table'!$C22,'Prior YTD Data Pull'!$A$2:$A$605,0),MATCH("Total Current Liabilities",'Prior YTD Data Pull'!$A$1:$CB$1,0)),"")</f>
        <v>11914000</v>
      </c>
      <c r="AG22" s="38">
        <f>IFERROR(INDEX('Prior YTD Data Pull'!$A$2:$CB$605,MATCH('Prior YTD Data Table'!$C22,'Prior YTD Data Pull'!$A$2:$A$605,0),MATCH("Total Non Operating Revenue",'Prior YTD Data Pull'!$A$1:$CB$1,0)),"")</f>
        <v>9888</v>
      </c>
      <c r="AH22" s="38">
        <f>IFERROR(INDEX('Prior YTD Data Pull'!$A$2:$CB$605,MATCH('Prior YTD Data Table'!$C22,'Prior Year Data Pull'!$A$2:$A$593,0),MATCH("Less Accumulated Depreciation",'Prior YTD Data Pull'!$A$1:$CB$1,0)),"")</f>
        <v>15369980</v>
      </c>
      <c r="AI22" s="38">
        <f>IFERROR(INDEX('Prior YTD Data Pull'!$A$2:$CB$605,MATCH('Prior YTD Data Table'!$C22,'Prior YTD Data Pull'!$A$2:$A$605,0),MATCH("Depreciation and Amortization Expense",'Prior YTD Data Pull'!$A$1:$CB$1,0)),"")</f>
        <v>340408</v>
      </c>
      <c r="AJ22" s="38">
        <f>IFERROR(INDEX('Prior YTD Data Pull'!$A$2:$CB$605,MATCH('Prior YTD Data Table'!$C22,'Prior YTD Data Pull'!$A$2:$A$605,0),MATCH("Net Patient Accounts Receivable",'Prior YTD Data Pull'!$A$1:$CB$1,0)),"")</f>
        <v>4713878</v>
      </c>
      <c r="AK22" s="14" t="str">
        <f>IF('Prior YTD Data Pull'!$H22 = 6, "183", IF('Prior YTD Data Pull'!$H22 = 3, "93",""))</f>
        <v>183</v>
      </c>
      <c r="AL22" s="38">
        <f>IFERROR(INDEX('Prior YTD Data Pull'!$A$2:$CB$605,MATCH('Prior YTD Data Table'!$C22,'Prior YTD Data Pull'!$A$2:$A$605,0),MATCH("Estimated Third Party Settlements",'Prior YTD Data Pull'!$A$1:$CB$1,0)),"")</f>
        <v>561870</v>
      </c>
      <c r="AM22" s="38">
        <f>IFERROR(INDEX('Prior YTD Data Pull'!$A$2:$CB$605,MATCH('Prior YTD Data Table'!$C22,'Prior YTD Data Pull'!$A$2:$A$605,0),MATCH("Current Liabilities due to Affiliates",'Prior YTD Data Pull'!$A$1:$CB$1,0)),"")</f>
        <v>0</v>
      </c>
      <c r="AN22" s="38">
        <f>IFERROR(INDEX('Prior YTD Data Pull'!$A$2:$CB$605,MATCH('Prior YTD Data Table'!$C22,'Prior YTD Data Pull'!$A$2:$A$605,0),MATCH("Short Term Investments",'Prior YTD Data Pull'!$A$1:$CB$1,0)),"")</f>
        <v>0</v>
      </c>
      <c r="AO22" s="38">
        <f>IFERROR(INDEX('Prior YTD Data Pull'!$A$2:$CB$605,MATCH('Prior YTD Data Table'!$C22,'Prior YTD Data Pull'!$A$2:$A$605,0),MATCH("Cash and Cash Equivalents",'Prior YTD Data Pull'!$A$1:$CB$1,0)),"")</f>
        <v>5908980</v>
      </c>
      <c r="AP22" s="38">
        <f>IFERROR(INDEX('Prior YTD Data Pull'!$A$2:$CB$605,MATCH('Prior YTD Data Table'!$C22,'Prior YTD Data Pull'!$A$2:$A$605,0),MATCH("Interest Expense",'Prior YTD Data Pull'!$A$1:$CB$1,0)),"")</f>
        <v>98</v>
      </c>
      <c r="AQ22" s="38">
        <f>IFERROR(INDEX('Prior YTD Data Pull'!$A$2:$CB$605,MATCH('Prior YTD Data Table'!$C22,'Prior YTD Data Pull'!$A$2:$A$605,0),MATCH("Long Term Debt Net of Current Portion",'Prior YTD Data Pull'!$A$1:$CB$1,0)),"")</f>
        <v>220131</v>
      </c>
      <c r="AR22" s="38">
        <f>IFERROR(INDEX('Prior YTD Data Pull'!$A$2:$CB$605,MATCH('Prior YTD Data Table'!$C22,'Prior YTD Data Pull'!$A$2:$A$605,0),MATCH("Total Assets",'Prior YTD Data Pull'!$A$1:$CB$1,0)),"")</f>
        <v>29591932</v>
      </c>
      <c r="AS22" s="38">
        <f>IFERROR(INDEX('Prior YTD Data Pull'!$A$2:$CB$605,MATCH('Prior YTD Data Table'!$C22,'Prior YTD Data Pull'!$A$2:$A$605,0),MATCH("Long Term Debt Net of Current Portion",'Prior YTD Data Pull'!$A$1:$CB$1,0)),"")</f>
        <v>220131</v>
      </c>
      <c r="AT22" s="38">
        <f>IFERROR(INDEX('Prior YTD Data Pull'!$A$2:$CB$605,MATCH('Prior YTD Data Table'!$C22,'Prior YTD Data Pull'!$A$2:$A$605,0),MATCH("Net Unrestricted Assets",'Prior YTD Data Pull'!$A$1:$CB$1,0)),"")</f>
        <v>11305387</v>
      </c>
      <c r="AU22" s="38">
        <f>IFERROR(INDEX('Prior YTD Data Pull'!$A$2:$CB$605,MATCH('Prior YTD Data Table'!$C22,'Prior YTD Data Pull'!$A$2:$A$605,0),MATCH("Unrealized Gains/Losses",'Prior YTD Data Pull'!$A$1:$CB$1,0)),"")</f>
        <v>0</v>
      </c>
      <c r="AV22" s="38">
        <f>IFERROR(INDEX('Prior YTD Data Pull'!$A$2:$CB$605,MATCH('Prior YTD Data Table'!$C22,'Prior YTD Data Pull'!$A$2:$A$605,0),MATCH("Salary and Benefit Expense",'Prior YTD Data Pull'!$A$1:$CB$1,0)),"")</f>
        <v>7888766</v>
      </c>
      <c r="AW22" s="38"/>
      <c r="AX22" s="38"/>
      <c r="AY22" s="38"/>
      <c r="AZ22" s="38"/>
    </row>
    <row r="23" spans="1:52" ht="34.200000000000003" x14ac:dyDescent="0.3">
      <c r="A23" s="14" t="str">
        <f>IFERROR(INDEX('Static Data Tab'!$N$2:$N$610,MATCH(D23,'Static Data Tab'!$D$2:$D$610,0)), "")</f>
        <v>Tenet Healthcare</v>
      </c>
      <c r="B23" s="57" t="s">
        <v>542</v>
      </c>
      <c r="C23" s="57">
        <v>127</v>
      </c>
      <c r="D23" s="57">
        <v>3888</v>
      </c>
      <c r="E23" s="14" t="str">
        <f>IFERROR(INDEX('Prior YTD Data Pull'!$A$1:$CB$605,MATCH('Prior YTD Data Table'!$C23,'Prior YTD Data Pull'!$A$1:$A$605,0),MATCH("Organization Type",'Prior YTD Data Pull'!$A$1:$CB$1,0)),"")</f>
        <v>AcuteHospital</v>
      </c>
      <c r="F23" s="14" t="str">
        <f>IFERROR(INDEX('Static Data Tab'!$E$2:$E$610,MATCH('Prior YTD Data Table'!$C23,'Static Data Tab'!$B$2:$B$610,0)), "-")</f>
        <v>Teaching Hospital</v>
      </c>
      <c r="G23" s="46" t="str">
        <f>IFERROR(INDEX('Static Data Tab'!$J$2:$J$610,MATCH('Prior YTD Data Table'!$C23,'Static Data Tab'!$B$2:$B$610,0)), "")</f>
        <v>Central Massachusetts</v>
      </c>
      <c r="H23" s="14" t="str">
        <f>IFERROR(INDEX('Static Data Tab'!$F$2:$F$610,MATCH('Prior YTD Data Table'!$C23,'Static Data Tab'!$B$2:$B$610,0)), "")</f>
        <v>x</v>
      </c>
      <c r="I23" s="14" t="str">
        <f>IFERROR(INDEX('Static Data Tab'!$G$2:$G$610,MATCH('Prior YTD Data Table'!$C23,'Static Data Tab'!$B$2:$B$610,0)), "")</f>
        <v>x</v>
      </c>
      <c r="J23" s="14" t="str">
        <f>IFERROR(INDEX('Prior YTD Data Pull'!$A$2:$CB$605,MATCH('Prior YTD Data Table'!$C23,'Prior YTD Data Pull'!$A$2:$A$605,0),MATCH("Quarter Range",'Prior YTD Data Pull'!$A$1:$CB$1,0)),"")</f>
        <v xml:space="preserve">01/01/2025-03/31/2025
</v>
      </c>
      <c r="K23" s="37">
        <f t="shared" si="2"/>
        <v>-1.5433006425404091E-2</v>
      </c>
      <c r="L23" s="37">
        <f t="shared" si="3"/>
        <v>2.7553310702172645E-4</v>
      </c>
      <c r="M23" s="37">
        <f t="shared" si="4"/>
        <v>-1.5157473318382429E-2</v>
      </c>
      <c r="N23" s="38">
        <f t="shared" si="5"/>
        <v>-1669161</v>
      </c>
      <c r="O23" s="39">
        <f t="shared" si="6"/>
        <v>2.718414965512943</v>
      </c>
      <c r="P23" s="38">
        <f>IFERROR(INDEX('Prior YTD Data Pull'!$A$2:$CB$605,MATCH('Prior YTD Data Table'!$C23,'Prior YTD Data Pull'!$A$2:$A$605,0),MATCH("Total Net Assets or Equity",'Prior YTD Data Pull'!$A$1:$CB$1,0)),"")</f>
        <v>264149162</v>
      </c>
      <c r="Q23" s="38">
        <f>IFERROR(INDEX('Prior YTD Data Pull'!$A$2:$CB$605,MATCH('Prior YTD Data Table'!$C23,'Prior YTD Data Pull'!$A$2:$A$605,0),MATCH("Total Operating Revenue",'Prior YTD Data Pull'!$A$1:$CB$1,0)),"")</f>
        <v>110090979.93000001</v>
      </c>
      <c r="R23" s="38">
        <f>IFERROR(INDEX('Prior YTD Data Pull'!$A$2:$CB$605,MATCH('Prior YTD Data Table'!$C23,'Prior YTD Data Pull'!$A$2:$A$605,0),MATCH("Total Unrestricted Revenue Gains and Other Support",'Prior YTD Data Pull'!$A$1:$CB$1,0)),"")</f>
        <v>110121322</v>
      </c>
      <c r="S23" s="38" t="str">
        <f>IFERROR(INDEX('Prior YTD TS Data Pull'!$J$2:$J$128,MATCH('Prior YTD Data Table'!$C23, 'Prior YTD TS Data Pull'!$A$2:$A$128,0))+INDEX('Prior YTD TS Data Pull'!$N$2:$N$128,MATCH('Prior YTD Data Table'!$C23,'Prior YTD TS Data Pull'!$A$2:$A$609,0))+INDEX('Prior YTD TS Data Pull'!$R$2:$R$128,MATCH('Prior YTD Data Table'!$C23,'Prior YTD TS Data Pull'!$A$2:$A$609,0)),"")</f>
        <v/>
      </c>
      <c r="T23" s="38" t="e">
        <f>IF(INDEX('Prior YTD TS Data Pull'!$A$1:$O$609,MATCH('Prior YTD Data Table'!$C23,'Prior YTD TS Data Pull'!$A$1:$A$609,0),MATCH("Temporary RN Staffing:
Line Reported on in Standardized Financials",'Prior YTD TS Data Pull'!$A$1:$O$1,0))="66.1: Salary and Benefit Expense",'Prior YTD Data Table'!$AV23-'Prior YTD Data Table'!$S23,0)</f>
        <v>#N/A</v>
      </c>
      <c r="U23" s="38">
        <f>IFERROR(INDEX('Prior YTD Data Pull'!$A$2:$CB$605,MATCH('Prior YTD Data Table'!$C23,'Prior YTD Data Pull'!$A$2:$A$605,0),MATCH("Total Expenses Including Nonrecurring Gains Losses",'Prior YTD Data Pull'!$A$1:$CB$1,0)),"")</f>
        <v>111790483</v>
      </c>
      <c r="V23" s="41" t="str">
        <f t="shared" si="7"/>
        <v/>
      </c>
      <c r="W23" s="41">
        <f t="shared" si="8"/>
        <v>102.30708141094718</v>
      </c>
      <c r="X23" s="41">
        <f t="shared" si="0"/>
        <v>51.273541500995172</v>
      </c>
      <c r="Y23" s="37" t="str">
        <f t="shared" si="9"/>
        <v/>
      </c>
      <c r="Z23" s="41">
        <f t="shared" si="1"/>
        <v>3.0721281159343641</v>
      </c>
      <c r="AA23" s="39">
        <f t="shared" si="10"/>
        <v>1.5466270204252008</v>
      </c>
      <c r="AB23" s="37">
        <f t="shared" si="11"/>
        <v>0.74994626148828192</v>
      </c>
      <c r="AC23" s="37">
        <f t="shared" si="12"/>
        <v>0</v>
      </c>
      <c r="AD23" s="38">
        <f>IFERROR(INDEX('Prior YTD Data Pull'!$A$2:$CB$605,MATCH('Prior YTD Data Table'!$C23,'Prior YTD Data Pull'!$A$2:$A$605,0),MATCH("Net Patient Service Revenue",'Prior YTD Data Pull'!$A$1:$CB$1,0)),"")</f>
        <v>108280794</v>
      </c>
      <c r="AE23" s="38">
        <f>IFERROR(INDEX('Prior YTD Data Pull'!$A$2:$CB$605,MATCH('Prior YTD Data Table'!$C23,'Prior YTD Data Pull'!$A$2:$A$605,0),MATCH("Total Current Assets",'Prior YTD Data Pull'!$A$1:$CB$1,0)),"")</f>
        <v>82258579</v>
      </c>
      <c r="AF23" s="38">
        <f>IFERROR(INDEX('Prior YTD Data Pull'!$A$2:$CB$605,MATCH('Prior YTD Data Table'!$C23,'Prior YTD Data Pull'!$A$2:$A$605,0),MATCH("Total Current Liabilities",'Prior YTD Data Pull'!$A$1:$CB$1,0)),"")</f>
        <v>30259758</v>
      </c>
      <c r="AG23" s="38">
        <f>IFERROR(INDEX('Prior YTD Data Pull'!$A$2:$CB$605,MATCH('Prior YTD Data Table'!$C23,'Prior YTD Data Pull'!$A$2:$A$605,0),MATCH("Total Non Operating Revenue",'Prior YTD Data Pull'!$A$1:$CB$1,0)),"")</f>
        <v>30342.07</v>
      </c>
      <c r="AH23" s="38" t="str">
        <f>IFERROR(INDEX('Prior YTD Data Pull'!$A$2:$CB$605,MATCH('Prior YTD Data Table'!$C23,'Prior Year Data Pull'!$A$2:$A$593,0),MATCH("Less Accumulated Depreciation",'Prior YTD Data Pull'!$A$1:$CB$1,0)),"")</f>
        <v/>
      </c>
      <c r="AI23" s="38">
        <f>IFERROR(INDEX('Prior YTD Data Pull'!$A$2:$CB$605,MATCH('Prior YTD Data Table'!$C23,'Prior YTD Data Pull'!$A$2:$A$605,0),MATCH("Depreciation and Amortization Expense",'Prior YTD Data Pull'!$A$1:$CB$1,0)),"")</f>
        <v>3790615</v>
      </c>
      <c r="AJ23" s="38">
        <f>IFERROR(INDEX('Prior YTD Data Pull'!$A$2:$CB$605,MATCH('Prior YTD Data Table'!$C23,'Prior YTD Data Pull'!$A$2:$A$605,0),MATCH("Net Patient Accounts Receivable",'Prior YTD Data Pull'!$A$1:$CB$1,0)),"")</f>
        <v>60534929</v>
      </c>
      <c r="AK23" s="14" t="str">
        <f>IF('Prior YTD Data Pull'!$H23 = 6, "183", IF('Prior YTD Data Pull'!$H23 = 3, "93",""))</f>
        <v>183</v>
      </c>
      <c r="AL23" s="38">
        <f>IFERROR(INDEX('Prior YTD Data Pull'!$A$2:$CB$605,MATCH('Prior YTD Data Table'!$C23,'Prior YTD Data Pull'!$A$2:$A$605,0),MATCH("Estimated Third Party Settlements",'Prior YTD Data Pull'!$A$1:$CB$1,0)),"")</f>
        <v>0</v>
      </c>
      <c r="AM23" s="38">
        <f>IFERROR(INDEX('Prior YTD Data Pull'!$A$2:$CB$605,MATCH('Prior YTD Data Table'!$C23,'Prior YTD Data Pull'!$A$2:$A$605,0),MATCH("Current Liabilities due to Affiliates",'Prior YTD Data Pull'!$A$1:$CB$1,0)),"")</f>
        <v>0</v>
      </c>
      <c r="AN23" s="38">
        <f>IFERROR(INDEX('Prior YTD Data Pull'!$A$2:$CB$605,MATCH('Prior YTD Data Table'!$C23,'Prior YTD Data Pull'!$A$2:$A$605,0),MATCH("Short Term Investments",'Prior YTD Data Pull'!$A$1:$CB$1,0)),"")</f>
        <v>0</v>
      </c>
      <c r="AO23" s="38">
        <f>IFERROR(INDEX('Prior YTD Data Pull'!$A$2:$CB$605,MATCH('Prior YTD Data Table'!$C23,'Prior YTD Data Pull'!$A$2:$A$605,0),MATCH("Cash and Cash Equivalents",'Prior YTD Data Pull'!$A$1:$CB$1,0)),"")</f>
        <v>1813057</v>
      </c>
      <c r="AP23" s="38">
        <f>IFERROR(INDEX('Prior YTD Data Pull'!$A$2:$CB$605,MATCH('Prior YTD Data Table'!$C23,'Prior YTD Data Pull'!$A$2:$A$605,0),MATCH("Interest Expense",'Prior YTD Data Pull'!$A$1:$CB$1,0)),"")</f>
        <v>3880990</v>
      </c>
      <c r="AQ23" s="38">
        <f>IFERROR(INDEX('Prior YTD Data Pull'!$A$2:$CB$605,MATCH('Prior YTD Data Table'!$C23,'Prior YTD Data Pull'!$A$2:$A$605,0),MATCH("Long Term Debt Net of Current Portion",'Prior YTD Data Pull'!$A$1:$CB$1,0)),"")</f>
        <v>0</v>
      </c>
      <c r="AR23" s="38">
        <f>IFERROR(INDEX('Prior YTD Data Pull'!$A$2:$CB$605,MATCH('Prior YTD Data Table'!$C23,'Prior YTD Data Pull'!$A$2:$A$605,0),MATCH("Total Assets",'Prior YTD Data Pull'!$A$1:$CB$1,0)),"")</f>
        <v>352224120</v>
      </c>
      <c r="AS23" s="38">
        <f>IFERROR(INDEX('Prior YTD Data Pull'!$A$2:$CB$605,MATCH('Prior YTD Data Table'!$C23,'Prior YTD Data Pull'!$A$2:$A$605,0),MATCH("Long Term Debt Net of Current Portion",'Prior YTD Data Pull'!$A$1:$CB$1,0)),"")</f>
        <v>0</v>
      </c>
      <c r="AT23" s="38">
        <f>IFERROR(INDEX('Prior YTD Data Pull'!$A$2:$CB$605,MATCH('Prior YTD Data Table'!$C23,'Prior YTD Data Pull'!$A$2:$A$605,0),MATCH("Net Unrestricted Assets",'Prior YTD Data Pull'!$A$1:$CB$1,0)),"")</f>
        <v>264149162</v>
      </c>
      <c r="AU23" s="38">
        <f>IFERROR(INDEX('Prior YTD Data Pull'!$A$2:$CB$605,MATCH('Prior YTD Data Table'!$C23,'Prior YTD Data Pull'!$A$2:$A$605,0),MATCH("Unrealized Gains/Losses",'Prior YTD Data Pull'!$A$1:$CB$1,0)),"")</f>
        <v>0</v>
      </c>
      <c r="AV23" s="38">
        <f>IFERROR(INDEX('Prior YTD Data Pull'!$A$2:$CB$605,MATCH('Prior YTD Data Table'!$C23,'Prior YTD Data Pull'!$A$2:$A$605,0),MATCH("Salary and Benefit Expense",'Prior YTD Data Pull'!$A$1:$CB$1,0)),"")</f>
        <v>45430201</v>
      </c>
      <c r="AW23" s="47"/>
      <c r="AX23" s="47"/>
      <c r="AY23" s="47"/>
      <c r="AZ23" s="47"/>
    </row>
    <row r="24" spans="1:52" ht="34.200000000000003" x14ac:dyDescent="0.3">
      <c r="A24" s="14" t="str">
        <f>IFERROR(INDEX('Static Data Tab'!$N$2:$N$610,MATCH(D24,'Static Data Tab'!$D$2:$D$610,0)), "")</f>
        <v>Lawrence General Hospital and Affiliates</v>
      </c>
      <c r="B24" s="14" t="s">
        <v>176</v>
      </c>
      <c r="C24" s="14">
        <v>75</v>
      </c>
      <c r="D24" s="14">
        <v>13156</v>
      </c>
      <c r="E24" s="14" t="str">
        <f>IFERROR(INDEX('Prior YTD Data Pull'!$A$1:$CB$605,MATCH('Prior YTD Data Table'!$C24,'Prior YTD Data Pull'!$A$1:$A$605,0),MATCH("Organization Type",'Prior YTD Data Pull'!$A$1:$CB$1,0)),"")</f>
        <v>AcuteHospital</v>
      </c>
      <c r="F24" s="14" t="str">
        <f>IFERROR(INDEX('Static Data Tab'!$E$2:$E$610,MATCH('Prior YTD Data Table'!$C24,'Static Data Tab'!$B$2:$B$610,0)), "-")</f>
        <v>Community-High Public Payer Hospital</v>
      </c>
      <c r="G24" s="46" t="str">
        <f>IFERROR(INDEX('Static Data Tab'!$J$2:$J$610,MATCH('Prior YTD Data Table'!$C24,'Static Data Tab'!$B$2:$B$610,0)), "")</f>
        <v>Northeastern Massachusetts</v>
      </c>
      <c r="H24" s="14" t="str">
        <f>IFERROR(INDEX('Static Data Tab'!$F$2:$F$610,MATCH('Prior YTD Data Table'!$C24,'Static Data Tab'!$B$2:$B$610,0)), "")</f>
        <v>x</v>
      </c>
      <c r="I24" s="14">
        <f>IFERROR(INDEX('Static Data Tab'!$G$2:$G$610,MATCH('Prior YTD Data Table'!$C24,'Static Data Tab'!$B$2:$B$610,0)), "")</f>
        <v>0</v>
      </c>
      <c r="J24" s="14" t="str">
        <f>IFERROR(INDEX('Prior YTD Data Pull'!$A$2:$CB$605,MATCH('Prior YTD Data Table'!$C24,'Prior YTD Data Pull'!$A$2:$A$605,0),MATCH("Quarter Range",'Prior YTD Data Pull'!$A$1:$CB$1,0)),"")</f>
        <v xml:space="preserve">10/01/2024-03/31/2025
</v>
      </c>
      <c r="K24" s="37">
        <f t="shared" si="2"/>
        <v>-0.15529675470227072</v>
      </c>
      <c r="L24" s="37">
        <f t="shared" si="3"/>
        <v>0</v>
      </c>
      <c r="M24" s="37">
        <f t="shared" si="4"/>
        <v>-0.15529675470227072</v>
      </c>
      <c r="N24" s="38">
        <f t="shared" si="5"/>
        <v>-15935000</v>
      </c>
      <c r="O24" s="39" t="str">
        <f t="shared" si="6"/>
        <v/>
      </c>
      <c r="P24" s="38">
        <f>IFERROR(INDEX('Prior YTD Data Pull'!$A$2:$CB$605,MATCH('Prior YTD Data Table'!$C24,'Prior YTD Data Pull'!$A$2:$A$605,0),MATCH("Total Net Assets or Equity",'Prior YTD Data Pull'!$A$1:$CB$1,0)),"")</f>
        <v>0</v>
      </c>
      <c r="Q24" s="38">
        <f>IFERROR(INDEX('Prior YTD Data Pull'!$A$2:$CB$605,MATCH('Prior YTD Data Table'!$C24,'Prior YTD Data Pull'!$A$2:$A$605,0),MATCH("Total Operating Revenue",'Prior YTD Data Pull'!$A$1:$CB$1,0)),"")</f>
        <v>102610000</v>
      </c>
      <c r="R24" s="38">
        <f>IFERROR(INDEX('Prior YTD Data Pull'!$A$2:$CB$605,MATCH('Prior YTD Data Table'!$C24,'Prior YTD Data Pull'!$A$2:$A$605,0),MATCH("Total Unrestricted Revenue Gains and Other Support",'Prior YTD Data Pull'!$A$1:$CB$1,0)),"")</f>
        <v>102610000</v>
      </c>
      <c r="S24" s="38" t="str">
        <f>IFERROR(INDEX('Prior YTD TS Data Pull'!$J$2:$J$128,MATCH('Prior YTD Data Table'!$C24, 'Prior YTD TS Data Pull'!$A$2:$A$128,0))+INDEX('Prior YTD TS Data Pull'!$N$2:$N$128,MATCH('Prior YTD Data Table'!$C24,'Prior YTD TS Data Pull'!$A$2:$A$609,0))+INDEX('Prior YTD TS Data Pull'!$R$2:$R$128,MATCH('Prior YTD Data Table'!$C24,'Prior YTD TS Data Pull'!$A$2:$A$609,0)),"")</f>
        <v/>
      </c>
      <c r="T24" s="38" t="e">
        <f>IF(INDEX('Prior YTD TS Data Pull'!$A$1:$O$609,MATCH('Prior YTD Data Table'!$C24,'Prior YTD TS Data Pull'!$A$1:$A$609,0),MATCH("Temporary RN Staffing:
Line Reported on in Standardized Financials",'Prior YTD TS Data Pull'!$A$1:$O$1,0))="66.1: Salary and Benefit Expense",'Prior YTD Data Table'!$AV24-'Prior YTD Data Table'!$S24,0)</f>
        <v>#N/A</v>
      </c>
      <c r="U24" s="38">
        <f>IFERROR(INDEX('Prior YTD Data Pull'!$A$2:$CB$605,MATCH('Prior YTD Data Table'!$C24,'Prior YTD Data Pull'!$A$2:$A$605,0),MATCH("Total Expenses Including Nonrecurring Gains Losses",'Prior YTD Data Pull'!$A$1:$CB$1,0)),"")</f>
        <v>118545000</v>
      </c>
      <c r="V24" s="41">
        <f t="shared" si="7"/>
        <v>465.6270069987649</v>
      </c>
      <c r="W24" s="41">
        <f t="shared" si="8"/>
        <v>0</v>
      </c>
      <c r="X24" s="41">
        <f t="shared" si="0"/>
        <v>0</v>
      </c>
      <c r="Y24" s="37" t="str">
        <f t="shared" si="9"/>
        <v/>
      </c>
      <c r="Z24" s="41">
        <f t="shared" si="1"/>
        <v>0</v>
      </c>
      <c r="AA24" s="39" t="str">
        <f t="shared" si="10"/>
        <v/>
      </c>
      <c r="AB24" s="37" t="str">
        <f t="shared" si="11"/>
        <v/>
      </c>
      <c r="AC24" s="37" t="str">
        <f t="shared" si="12"/>
        <v/>
      </c>
      <c r="AD24" s="38">
        <f>IFERROR(INDEX('Prior YTD Data Pull'!$A$2:$CB$605,MATCH('Prior YTD Data Table'!$C24,'Prior YTD Data Pull'!$A$2:$A$605,0),MATCH("Net Patient Service Revenue",'Prior YTD Data Pull'!$A$1:$CB$1,0)),"")</f>
        <v>101792000</v>
      </c>
      <c r="AE24" s="38">
        <f>IFERROR(INDEX('Prior YTD Data Pull'!$A$2:$CB$605,MATCH('Prior YTD Data Table'!$C24,'Prior YTD Data Pull'!$A$2:$A$605,0),MATCH("Total Current Assets",'Prior YTD Data Pull'!$A$1:$CB$1,0)),"")</f>
        <v>0</v>
      </c>
      <c r="AF24" s="38">
        <f>IFERROR(INDEX('Prior YTD Data Pull'!$A$2:$CB$605,MATCH('Prior YTD Data Table'!$C24,'Prior YTD Data Pull'!$A$2:$A$605,0),MATCH("Total Current Liabilities",'Prior YTD Data Pull'!$A$1:$CB$1,0)),"")</f>
        <v>0</v>
      </c>
      <c r="AG24" s="38">
        <f>IFERROR(INDEX('Prior YTD Data Pull'!$A$2:$CB$605,MATCH('Prior YTD Data Table'!$C24,'Prior YTD Data Pull'!$A$2:$A$605,0),MATCH("Total Non Operating Revenue",'Prior YTD Data Pull'!$A$1:$CB$1,0)),"")</f>
        <v>0</v>
      </c>
      <c r="AH24" s="38">
        <f>IFERROR(INDEX('Prior YTD Data Pull'!$A$2:$CB$605,MATCH('Prior YTD Data Table'!$C24,'Prior Year Data Pull'!$A$2:$A$593,0),MATCH("Less Accumulated Depreciation",'Prior YTD Data Pull'!$A$1:$CB$1,0)),"")</f>
        <v>1131008000</v>
      </c>
      <c r="AI24" s="38">
        <f>IFERROR(INDEX('Prior YTD Data Pull'!$A$2:$CB$605,MATCH('Prior YTD Data Table'!$C24,'Prior YTD Data Pull'!$A$2:$A$605,0),MATCH("Depreciation and Amortization Expense",'Prior YTD Data Pull'!$A$1:$CB$1,0)),"")</f>
        <v>2429000</v>
      </c>
      <c r="AJ24" s="38">
        <f>IFERROR(INDEX('Prior YTD Data Pull'!$A$2:$CB$605,MATCH('Prior YTD Data Table'!$C24,'Prior YTD Data Pull'!$A$2:$A$605,0),MATCH("Net Patient Accounts Receivable",'Prior YTD Data Pull'!$A$1:$CB$1,0)),"")</f>
        <v>0</v>
      </c>
      <c r="AK24" s="14" t="str">
        <f>IF('Prior YTD Data Pull'!$H24 = 6, "183", IF('Prior YTD Data Pull'!$H24 = 3, "93",""))</f>
        <v>183</v>
      </c>
      <c r="AL24" s="38">
        <f>IFERROR(INDEX('Prior YTD Data Pull'!$A$2:$CB$605,MATCH('Prior YTD Data Table'!$C24,'Prior YTD Data Pull'!$A$2:$A$605,0),MATCH("Estimated Third Party Settlements",'Prior YTD Data Pull'!$A$1:$CB$1,0)),"")</f>
        <v>0</v>
      </c>
      <c r="AM24" s="38">
        <f>IFERROR(INDEX('Prior YTD Data Pull'!$A$2:$CB$605,MATCH('Prior YTD Data Table'!$C24,'Prior YTD Data Pull'!$A$2:$A$605,0),MATCH("Current Liabilities due to Affiliates",'Prior YTD Data Pull'!$A$1:$CB$1,0)),"")</f>
        <v>0</v>
      </c>
      <c r="AN24" s="38">
        <f>IFERROR(INDEX('Prior YTD Data Pull'!$A$2:$CB$605,MATCH('Prior YTD Data Table'!$C24,'Prior YTD Data Pull'!$A$2:$A$605,0),MATCH("Short Term Investments",'Prior YTD Data Pull'!$A$1:$CB$1,0)),"")</f>
        <v>0</v>
      </c>
      <c r="AO24" s="38">
        <f>IFERROR(INDEX('Prior YTD Data Pull'!$A$2:$CB$605,MATCH('Prior YTD Data Table'!$C24,'Prior YTD Data Pull'!$A$2:$A$605,0),MATCH("Cash and Cash Equivalents",'Prior YTD Data Pull'!$A$1:$CB$1,0)),"")</f>
        <v>0</v>
      </c>
      <c r="AP24" s="38">
        <f>IFERROR(INDEX('Prior YTD Data Pull'!$A$2:$CB$605,MATCH('Prior YTD Data Table'!$C24,'Prior YTD Data Pull'!$A$2:$A$605,0),MATCH("Interest Expense",'Prior YTD Data Pull'!$A$1:$CB$1,0)),"")</f>
        <v>0</v>
      </c>
      <c r="AQ24" s="38">
        <f>IFERROR(INDEX('Prior YTD Data Pull'!$A$2:$CB$605,MATCH('Prior YTD Data Table'!$C24,'Prior YTD Data Pull'!$A$2:$A$605,0),MATCH("Long Term Debt Net of Current Portion",'Prior YTD Data Pull'!$A$1:$CB$1,0)),"")</f>
        <v>0</v>
      </c>
      <c r="AR24" s="38">
        <f>IFERROR(INDEX('Prior YTD Data Pull'!$A$2:$CB$605,MATCH('Prior YTD Data Table'!$C24,'Prior YTD Data Pull'!$A$2:$A$605,0),MATCH("Total Assets",'Prior YTD Data Pull'!$A$1:$CB$1,0)),"")</f>
        <v>0</v>
      </c>
      <c r="AS24" s="38">
        <f>IFERROR(INDEX('Prior YTD Data Pull'!$A$2:$CB$605,MATCH('Prior YTD Data Table'!$C24,'Prior YTD Data Pull'!$A$2:$A$605,0),MATCH("Long Term Debt Net of Current Portion",'Prior YTD Data Pull'!$A$1:$CB$1,0)),"")</f>
        <v>0</v>
      </c>
      <c r="AT24" s="38">
        <f>IFERROR(INDEX('Prior YTD Data Pull'!$A$2:$CB$605,MATCH('Prior YTD Data Table'!$C24,'Prior YTD Data Pull'!$A$2:$A$605,0),MATCH("Net Unrestricted Assets",'Prior YTD Data Pull'!$A$1:$CB$1,0)),"")</f>
        <v>0</v>
      </c>
      <c r="AU24" s="38">
        <f>IFERROR(INDEX('Prior YTD Data Pull'!$A$2:$CB$605,MATCH('Prior YTD Data Table'!$C24,'Prior YTD Data Pull'!$A$2:$A$605,0),MATCH("Unrealized Gains/Losses",'Prior YTD Data Pull'!$A$1:$CB$1,0)),"")</f>
        <v>0</v>
      </c>
      <c r="AV24" s="38">
        <f>IFERROR(INDEX('Prior YTD Data Pull'!$A$2:$CB$605,MATCH('Prior YTD Data Table'!$C24,'Prior YTD Data Pull'!$A$2:$A$605,0),MATCH("Salary and Benefit Expense",'Prior YTD Data Pull'!$A$1:$CB$1,0)),"")</f>
        <v>49603000</v>
      </c>
      <c r="AW24" s="38"/>
      <c r="AX24" s="38"/>
      <c r="AY24" s="38"/>
      <c r="AZ24" s="38"/>
    </row>
    <row r="25" spans="1:52" ht="34.200000000000003" x14ac:dyDescent="0.3">
      <c r="A25" s="14" t="str">
        <f>IFERROR(INDEX('Static Data Tab'!$N$2:$N$610,MATCH(D25,'Static Data Tab'!$D$2:$D$610,0)), "")</f>
        <v>Tufts Medicine</v>
      </c>
      <c r="B25" s="57" t="s">
        <v>191</v>
      </c>
      <c r="C25" s="57">
        <v>85</v>
      </c>
      <c r="D25" s="57">
        <v>12775</v>
      </c>
      <c r="E25" s="14" t="str">
        <f>IFERROR(INDEX('Prior YTD Data Pull'!$A$1:$CB$605,MATCH('Prior YTD Data Table'!$C25,'Prior YTD Data Pull'!$A$1:$A$605,0),MATCH("Organization Type",'Prior YTD Data Pull'!$A$1:$CB$1,0)),"")</f>
        <v>AcuteHospital</v>
      </c>
      <c r="F25" s="14" t="str">
        <f>IFERROR(INDEX('Static Data Tab'!$E$2:$E$610,MATCH('Prior YTD Data Table'!$C25,'Static Data Tab'!$B$2:$B$610,0)), "-")</f>
        <v>Community-High Public Payer Hospital</v>
      </c>
      <c r="G25" s="46" t="str">
        <f>IFERROR(INDEX('Static Data Tab'!$J$2:$J$610,MATCH('Prior YTD Data Table'!$C25,'Static Data Tab'!$B$2:$B$610,0)), "")</f>
        <v>Northeastern Massachusetts</v>
      </c>
      <c r="H25" s="14" t="str">
        <f>IFERROR(INDEX('Static Data Tab'!$F$2:$F$610,MATCH('Prior YTD Data Table'!$C25,'Static Data Tab'!$B$2:$B$610,0)), "")</f>
        <v>x</v>
      </c>
      <c r="I25" s="14">
        <f>IFERROR(INDEX('Static Data Tab'!$G$2:$G$610,MATCH('Prior YTD Data Table'!$C25,'Static Data Tab'!$B$2:$B$610,0)), "")</f>
        <v>0</v>
      </c>
      <c r="J25" s="14" t="str">
        <f>IFERROR(INDEX('Prior YTD Data Pull'!$A$2:$CB$605,MATCH('Prior YTD Data Table'!$C25,'Prior YTD Data Pull'!$A$2:$A$605,0),MATCH("Quarter Range",'Prior YTD Data Pull'!$A$1:$CB$1,0)),"")</f>
        <v xml:space="preserve">10/01/2024-03/31/2025
</v>
      </c>
      <c r="K25" s="37">
        <f t="shared" si="2"/>
        <v>5.0273826762179175E-2</v>
      </c>
      <c r="L25" s="37">
        <f t="shared" si="3"/>
        <v>-1.660360442723463E-3</v>
      </c>
      <c r="M25" s="37">
        <f t="shared" si="4"/>
        <v>4.8613466319455706E-2</v>
      </c>
      <c r="N25" s="38">
        <f t="shared" si="5"/>
        <v>16484000</v>
      </c>
      <c r="O25" s="39">
        <f t="shared" si="6"/>
        <v>1.4189621421330443</v>
      </c>
      <c r="P25" s="38">
        <f>IFERROR(INDEX('Prior YTD Data Pull'!$A$2:$CB$605,MATCH('Prior YTD Data Table'!$C25,'Prior YTD Data Pull'!$A$2:$A$605,0),MATCH("Total Net Assets or Equity",'Prior YTD Data Pull'!$A$1:$CB$1,0)),"")</f>
        <v>181612000</v>
      </c>
      <c r="Q25" s="38">
        <f>IFERROR(INDEX('Prior YTD Data Pull'!$A$2:$CB$605,MATCH('Prior YTD Data Table'!$C25,'Prior YTD Data Pull'!$A$2:$A$605,0),MATCH("Total Operating Revenue",'Prior YTD Data Pull'!$A$1:$CB$1,0)),"")</f>
        <v>339646000</v>
      </c>
      <c r="R25" s="38">
        <f>IFERROR(INDEX('Prior YTD Data Pull'!$A$2:$CB$605,MATCH('Prior YTD Data Table'!$C25,'Prior YTD Data Pull'!$A$2:$A$605,0),MATCH("Total Unrestricted Revenue Gains and Other Support",'Prior YTD Data Pull'!$A$1:$CB$1,0)),"")</f>
        <v>339083000</v>
      </c>
      <c r="S25" s="38">
        <f>IFERROR(INDEX('Prior YTD TS Data Pull'!$J$2:$J$128,MATCH('Prior YTD Data Table'!$C25, 'Prior YTD TS Data Pull'!$A$2:$A$128,0))+INDEX('Prior YTD TS Data Pull'!$N$2:$N$128,MATCH('Prior YTD Data Table'!$C25,'Prior YTD TS Data Pull'!$A$2:$A$609,0))+INDEX('Prior YTD TS Data Pull'!$R$2:$R$128,MATCH('Prior YTD Data Table'!$C25,'Prior YTD TS Data Pull'!$A$2:$A$609,0)),"")</f>
        <v>244460</v>
      </c>
      <c r="T25" s="38">
        <f>IF(INDEX('Prior YTD TS Data Pull'!$A$1:$O$609,MATCH('Prior YTD Data Table'!$C25,'Prior YTD TS Data Pull'!$A$1:$A$609,0),MATCH("Temporary RN Staffing:
Line Reported on in Standardized Financials",'Prior YTD TS Data Pull'!$A$1:$O$1,0))="66.1: Salary and Benefit Expense",'Prior YTD Data Table'!$AV25-'Prior YTD Data Table'!$S25,0)</f>
        <v>0</v>
      </c>
      <c r="U25" s="38">
        <f>IFERROR(INDEX('Prior YTD Data Pull'!$A$2:$CB$605,MATCH('Prior YTD Data Table'!$C25,'Prior YTD Data Pull'!$A$2:$A$605,0),MATCH("Total Expenses Including Nonrecurring Gains Losses",'Prior YTD Data Pull'!$A$1:$CB$1,0)),"")</f>
        <v>322599000</v>
      </c>
      <c r="V25" s="41">
        <f t="shared" si="7"/>
        <v>205.43698119600202</v>
      </c>
      <c r="W25" s="41">
        <f t="shared" si="8"/>
        <v>40.80391546384049</v>
      </c>
      <c r="X25" s="41">
        <f t="shared" si="0"/>
        <v>67.360001673139351</v>
      </c>
      <c r="Y25" s="37">
        <f t="shared" si="9"/>
        <v>0.29288383152173914</v>
      </c>
      <c r="Z25" s="41">
        <f t="shared" si="1"/>
        <v>9.2391173546379743</v>
      </c>
      <c r="AA25" s="39">
        <f t="shared" si="10"/>
        <v>0.42249109601151835</v>
      </c>
      <c r="AB25" s="37">
        <f t="shared" si="11"/>
        <v>0.44686122873797107</v>
      </c>
      <c r="AC25" s="37">
        <f t="shared" si="12"/>
        <v>0.29956649111122913</v>
      </c>
      <c r="AD25" s="38">
        <f>IFERROR(INDEX('Prior YTD Data Pull'!$A$2:$CB$605,MATCH('Prior YTD Data Table'!$C25,'Prior YTD Data Pull'!$A$2:$A$605,0),MATCH("Net Patient Service Revenue",'Prior YTD Data Pull'!$A$1:$CB$1,0)),"")</f>
        <v>321188000</v>
      </c>
      <c r="AE25" s="38">
        <f>IFERROR(INDEX('Prior YTD Data Pull'!$A$2:$CB$605,MATCH('Prior YTD Data Table'!$C25,'Prior YTD Data Pull'!$A$2:$A$605,0),MATCH("Total Current Assets",'Prior YTD Data Pull'!$A$1:$CB$1,0)),"")</f>
        <v>162369000</v>
      </c>
      <c r="AF25" s="38">
        <f>IFERROR(INDEX('Prior YTD Data Pull'!$A$2:$CB$605,MATCH('Prior YTD Data Table'!$C25,'Prior YTD Data Pull'!$A$2:$A$605,0),MATCH("Total Current Liabilities",'Prior YTD Data Pull'!$A$1:$CB$1,0)),"")</f>
        <v>114428000</v>
      </c>
      <c r="AG25" s="38">
        <f>IFERROR(INDEX('Prior YTD Data Pull'!$A$2:$CB$605,MATCH('Prior YTD Data Table'!$C25,'Prior YTD Data Pull'!$A$2:$A$605,0),MATCH("Total Non Operating Revenue",'Prior YTD Data Pull'!$A$1:$CB$1,0)),"")</f>
        <v>-563000</v>
      </c>
      <c r="AH25" s="38">
        <f>IFERROR(INDEX('Prior YTD Data Pull'!$A$2:$CB$605,MATCH('Prior YTD Data Table'!$C25,'Prior Year Data Pull'!$A$2:$A$593,0),MATCH("Less Accumulated Depreciation",'Prior YTD Data Pull'!$A$1:$CB$1,0)),"")</f>
        <v>2425389000</v>
      </c>
      <c r="AI25" s="38">
        <f>IFERROR(INDEX('Prior YTD Data Pull'!$A$2:$CB$605,MATCH('Prior YTD Data Table'!$C25,'Prior YTD Data Pull'!$A$2:$A$605,0),MATCH("Depreciation and Amortization Expense",'Prior YTD Data Pull'!$A$1:$CB$1,0)),"")</f>
        <v>11806000</v>
      </c>
      <c r="AJ25" s="38">
        <f>IFERROR(INDEX('Prior YTD Data Pull'!$A$2:$CB$605,MATCH('Prior YTD Data Table'!$C25,'Prior YTD Data Pull'!$A$2:$A$605,0),MATCH("Net Patient Accounts Receivable",'Prior YTD Data Pull'!$A$1:$CB$1,0)),"")</f>
        <v>71616000</v>
      </c>
      <c r="AK25" s="14" t="str">
        <f>IF('Prior YTD Data Pull'!$H25 = 6, "183", IF('Prior YTD Data Pull'!$H25 = 3, "93",""))</f>
        <v>183</v>
      </c>
      <c r="AL25" s="38">
        <f>IFERROR(INDEX('Prior YTD Data Pull'!$A$2:$CB$605,MATCH('Prior YTD Data Table'!$C25,'Prior YTD Data Pull'!$A$2:$A$605,0),MATCH("Estimated Third Party Settlements",'Prior YTD Data Pull'!$A$1:$CB$1,0)),"")</f>
        <v>29000</v>
      </c>
      <c r="AM25" s="38">
        <f>IFERROR(INDEX('Prior YTD Data Pull'!$A$2:$CB$605,MATCH('Prior YTD Data Table'!$C25,'Prior YTD Data Pull'!$A$2:$A$605,0),MATCH("Current Liabilities due to Affiliates",'Prior YTD Data Pull'!$A$1:$CB$1,0)),"")</f>
        <v>20890000</v>
      </c>
      <c r="AN25" s="38">
        <f>IFERROR(INDEX('Prior YTD Data Pull'!$A$2:$CB$605,MATCH('Prior YTD Data Table'!$C25,'Prior YTD Data Pull'!$A$2:$A$605,0),MATCH("Short Term Investments",'Prior YTD Data Pull'!$A$1:$CB$1,0)),"")</f>
        <v>0</v>
      </c>
      <c r="AO25" s="38">
        <f>IFERROR(INDEX('Prior YTD Data Pull'!$A$2:$CB$605,MATCH('Prior YTD Data Table'!$C25,'Prior YTD Data Pull'!$A$2:$A$605,0),MATCH("Cash and Cash Equivalents",'Prior YTD Data Pull'!$A$1:$CB$1,0)),"")</f>
        <v>15691000</v>
      </c>
      <c r="AP25" s="38">
        <f>IFERROR(INDEX('Prior YTD Data Pull'!$A$2:$CB$605,MATCH('Prior YTD Data Table'!$C25,'Prior YTD Data Pull'!$A$2:$A$605,0),MATCH("Interest Expense",'Prior YTD Data Pull'!$A$1:$CB$1,0)),"")</f>
        <v>5860000</v>
      </c>
      <c r="AQ25" s="38">
        <f>IFERROR(INDEX('Prior YTD Data Pull'!$A$2:$CB$605,MATCH('Prior YTD Data Table'!$C25,'Prior YTD Data Pull'!$A$2:$A$605,0),MATCH("Long Term Debt Net of Current Portion",'Prior YTD Data Pull'!$A$1:$CB$1,0)),"")</f>
        <v>73318000</v>
      </c>
      <c r="AR25" s="38">
        <f>IFERROR(INDEX('Prior YTD Data Pull'!$A$2:$CB$605,MATCH('Prior YTD Data Table'!$C25,'Prior YTD Data Pull'!$A$2:$A$605,0),MATCH("Total Assets",'Prior YTD Data Pull'!$A$1:$CB$1,0)),"")</f>
        <v>406417000</v>
      </c>
      <c r="AS25" s="38">
        <f>IFERROR(INDEX('Prior YTD Data Pull'!$A$2:$CB$605,MATCH('Prior YTD Data Table'!$C25,'Prior YTD Data Pull'!$A$2:$A$605,0),MATCH("Long Term Debt Net of Current Portion",'Prior YTD Data Pull'!$A$1:$CB$1,0)),"")</f>
        <v>73318000</v>
      </c>
      <c r="AT25" s="38">
        <f>IFERROR(INDEX('Prior YTD Data Pull'!$A$2:$CB$605,MATCH('Prior YTD Data Table'!$C25,'Prior YTD Data Pull'!$A$2:$A$605,0),MATCH("Net Unrestricted Assets",'Prior YTD Data Pull'!$A$1:$CB$1,0)),"")</f>
        <v>171429000</v>
      </c>
      <c r="AU25" s="38">
        <f>IFERROR(INDEX('Prior YTD Data Pull'!$A$2:$CB$605,MATCH('Prior YTD Data Table'!$C25,'Prior YTD Data Pull'!$A$2:$A$605,0),MATCH("Unrealized Gains/Losses",'Prior YTD Data Pull'!$A$1:$CB$1,0)),"")</f>
        <v>698000</v>
      </c>
      <c r="AV25" s="38">
        <f>IFERROR(INDEX('Prior YTD Data Pull'!$A$2:$CB$605,MATCH('Prior YTD Data Table'!$C25,'Prior YTD Data Pull'!$A$2:$A$605,0),MATCH("Salary and Benefit Expense",'Prior YTD Data Pull'!$A$1:$CB$1,0)),"")</f>
        <v>147474000</v>
      </c>
      <c r="AW25" s="47"/>
      <c r="AX25" s="47"/>
      <c r="AY25" s="47"/>
      <c r="AZ25" s="47"/>
    </row>
    <row r="26" spans="1:52" ht="34.200000000000003" x14ac:dyDescent="0.3">
      <c r="A26" s="14" t="str">
        <f>IFERROR(INDEX('Static Data Tab'!$N$2:$N$610,MATCH(D26,'Static Data Tab'!$D$2:$D$610,0)), "")</f>
        <v>Beth Israel Lahey Health</v>
      </c>
      <c r="B26" s="14" t="s">
        <v>92</v>
      </c>
      <c r="C26" s="14">
        <v>98</v>
      </c>
      <c r="D26" s="14">
        <v>16665</v>
      </c>
      <c r="E26" s="14" t="str">
        <f>IFERROR(INDEX('Prior YTD Data Pull'!$A$1:$CB$605,MATCH('Prior YTD Data Table'!$C26,'Prior YTD Data Pull'!$A$1:$A$605,0),MATCH("Organization Type",'Prior YTD Data Pull'!$A$1:$CB$1,0)),"")</f>
        <v>AcuteHospital</v>
      </c>
      <c r="F26" s="14" t="str">
        <f>IFERROR(INDEX('Static Data Tab'!$E$2:$E$610,MATCH('Prior YTD Data Table'!$C26,'Static Data Tab'!$B$2:$B$610,0)), "-")</f>
        <v>Community Hospital</v>
      </c>
      <c r="G26" s="46" t="str">
        <f>IFERROR(INDEX('Static Data Tab'!$J$2:$J$610,MATCH('Prior YTD Data Table'!$C26,'Static Data Tab'!$B$2:$B$610,0)), "")</f>
        <v>Metro Boston</v>
      </c>
      <c r="H26" s="14">
        <f>IFERROR(INDEX('Static Data Tab'!$F$2:$F$610,MATCH('Prior YTD Data Table'!$C26,'Static Data Tab'!$B$2:$B$610,0)), "")</f>
        <v>0</v>
      </c>
      <c r="I26" s="14">
        <f>IFERROR(INDEX('Static Data Tab'!$G$2:$G$610,MATCH('Prior YTD Data Table'!$C26,'Static Data Tab'!$B$2:$B$610,0)), "")</f>
        <v>0</v>
      </c>
      <c r="J26" s="14" t="str">
        <f>IFERROR(INDEX('Prior YTD Data Pull'!$A$2:$CB$605,MATCH('Prior YTD Data Table'!$C26,'Prior YTD Data Pull'!$A$2:$A$605,0),MATCH("Quarter Range",'Prior YTD Data Pull'!$A$1:$CB$1,0)),"")</f>
        <v xml:space="preserve">10/01/2024-03/31/2025
</v>
      </c>
      <c r="K26" s="37">
        <f t="shared" si="2"/>
        <v>-3.0553158635723693E-2</v>
      </c>
      <c r="L26" s="37">
        <f t="shared" si="3"/>
        <v>2.1810708933194058E-2</v>
      </c>
      <c r="M26" s="37">
        <f t="shared" si="4"/>
        <v>-8.7424497025296328E-3</v>
      </c>
      <c r="N26" s="38">
        <f t="shared" si="5"/>
        <v>-770000</v>
      </c>
      <c r="O26" s="39">
        <f t="shared" si="6"/>
        <v>1.2785938608043765</v>
      </c>
      <c r="P26" s="38">
        <f>IFERROR(INDEX('Prior YTD Data Pull'!$A$2:$CB$605,MATCH('Prior YTD Data Table'!$C26,'Prior YTD Data Pull'!$A$2:$A$605,0),MATCH("Total Net Assets or Equity",'Prior YTD Data Pull'!$A$1:$CB$1,0)),"")</f>
        <v>110397000</v>
      </c>
      <c r="Q26" s="38">
        <f>IFERROR(INDEX('Prior YTD Data Pull'!$A$2:$CB$605,MATCH('Prior YTD Data Table'!$C26,'Prior YTD Data Pull'!$A$2:$A$605,0),MATCH("Total Operating Revenue",'Prior YTD Data Pull'!$A$1:$CB$1,0)),"")</f>
        <v>86155000</v>
      </c>
      <c r="R26" s="38">
        <f>IFERROR(INDEX('Prior YTD Data Pull'!$A$2:$CB$605,MATCH('Prior YTD Data Table'!$C26,'Prior YTD Data Pull'!$A$2:$A$605,0),MATCH("Total Unrestricted Revenue Gains and Other Support",'Prior YTD Data Pull'!$A$1:$CB$1,0)),"")</f>
        <v>88076000</v>
      </c>
      <c r="S26" s="38">
        <f>IFERROR(INDEX('Prior YTD TS Data Pull'!$J$2:$J$128,MATCH('Prior YTD Data Table'!$C26, 'Prior YTD TS Data Pull'!$A$2:$A$128,0))+INDEX('Prior YTD TS Data Pull'!$N$2:$N$128,MATCH('Prior YTD Data Table'!$C26,'Prior YTD TS Data Pull'!$A$2:$A$609,0))+INDEX('Prior YTD TS Data Pull'!$R$2:$R$128,MATCH('Prior YTD Data Table'!$C26,'Prior YTD TS Data Pull'!$A$2:$A$609,0)),"")</f>
        <v>5308428</v>
      </c>
      <c r="T26" s="38">
        <f>IF(INDEX('Prior YTD TS Data Pull'!$A$1:$O$609,MATCH('Prior YTD Data Table'!$C26,'Prior YTD TS Data Pull'!$A$1:$A$609,0),MATCH("Temporary RN Staffing:
Line Reported on in Standardized Financials",'Prior YTD TS Data Pull'!$A$1:$O$1,0))="66.1: Salary and Benefit Expense",'Prior YTD Data Table'!$AV26-'Prior YTD Data Table'!$S26,0)</f>
        <v>35442572</v>
      </c>
      <c r="U26" s="38">
        <f>IFERROR(INDEX('Prior YTD Data Pull'!$A$2:$CB$605,MATCH('Prior YTD Data Table'!$C26,'Prior YTD Data Pull'!$A$2:$A$605,0),MATCH("Total Expenses Including Nonrecurring Gains Losses",'Prior YTD Data Pull'!$A$1:$CB$1,0)),"")</f>
        <v>88846000</v>
      </c>
      <c r="V26" s="41">
        <f t="shared" si="7"/>
        <v>48.497636964357227</v>
      </c>
      <c r="W26" s="41">
        <f t="shared" si="8"/>
        <v>44.320258734158173</v>
      </c>
      <c r="X26" s="41">
        <f t="shared" si="0"/>
        <v>127.71283928826981</v>
      </c>
      <c r="Y26" s="37">
        <f t="shared" si="9"/>
        <v>6.1355180309101316E-2</v>
      </c>
      <c r="Z26" s="41">
        <f t="shared" si="1"/>
        <v>110.5372203406001</v>
      </c>
      <c r="AA26" s="39">
        <f t="shared" si="10"/>
        <v>0.29379387364390558</v>
      </c>
      <c r="AB26" s="37">
        <f t="shared" si="11"/>
        <v>0.58855485597607327</v>
      </c>
      <c r="AC26" s="37">
        <f t="shared" si="12"/>
        <v>0.11215815185134456</v>
      </c>
      <c r="AD26" s="38">
        <f>IFERROR(INDEX('Prior YTD Data Pull'!$A$2:$CB$605,MATCH('Prior YTD Data Table'!$C26,'Prior YTD Data Pull'!$A$2:$A$605,0),MATCH("Net Patient Service Revenue",'Prior YTD Data Pull'!$A$1:$CB$1,0)),"")</f>
        <v>79773000</v>
      </c>
      <c r="AE26" s="38">
        <f>IFERROR(INDEX('Prior YTD Data Pull'!$A$2:$CB$605,MATCH('Prior YTD Data Table'!$C26,'Prior YTD Data Pull'!$A$2:$A$605,0),MATCH("Total Current Assets",'Prior YTD Data Pull'!$A$1:$CB$1,0)),"")</f>
        <v>75726000</v>
      </c>
      <c r="AF26" s="38">
        <f>IFERROR(INDEX('Prior YTD Data Pull'!$A$2:$CB$605,MATCH('Prior YTD Data Table'!$C26,'Prior YTD Data Pull'!$A$2:$A$605,0),MATCH("Total Current Liabilities",'Prior YTD Data Pull'!$A$1:$CB$1,0)),"")</f>
        <v>59226000</v>
      </c>
      <c r="AG26" s="38">
        <f>IFERROR(INDEX('Prior YTD Data Pull'!$A$2:$CB$605,MATCH('Prior YTD Data Table'!$C26,'Prior YTD Data Pull'!$A$2:$A$605,0),MATCH("Total Non Operating Revenue",'Prior YTD Data Pull'!$A$1:$CB$1,0)),"")</f>
        <v>1921000</v>
      </c>
      <c r="AH26" s="38">
        <f>IFERROR(INDEX('Prior YTD Data Pull'!$A$2:$CB$605,MATCH('Prior YTD Data Table'!$C26,'Prior Year Data Pull'!$A$2:$A$593,0),MATCH("Less Accumulated Depreciation",'Prior YTD Data Pull'!$A$1:$CB$1,0)),"")</f>
        <v>242197199</v>
      </c>
      <c r="AI26" s="38">
        <f>IFERROR(INDEX('Prior YTD Data Pull'!$A$2:$CB$605,MATCH('Prior YTD Data Table'!$C26,'Prior YTD Data Pull'!$A$2:$A$605,0),MATCH("Depreciation and Amortization Expense",'Prior YTD Data Pull'!$A$1:$CB$1,0)),"")</f>
        <v>4994000</v>
      </c>
      <c r="AJ26" s="38">
        <f>IFERROR(INDEX('Prior YTD Data Pull'!$A$2:$CB$605,MATCH('Prior YTD Data Table'!$C26,'Prior YTD Data Pull'!$A$2:$A$605,0),MATCH("Net Patient Accounts Receivable",'Prior YTD Data Pull'!$A$1:$CB$1,0)),"")</f>
        <v>19320000</v>
      </c>
      <c r="AK26" s="14" t="str">
        <f>IF('Prior YTD Data Pull'!$H26 = 6, "183", IF('Prior YTD Data Pull'!$H26 = 3, "93",""))</f>
        <v>183</v>
      </c>
      <c r="AL26" s="38">
        <f>IFERROR(INDEX('Prior YTD Data Pull'!$A$2:$CB$605,MATCH('Prior YTD Data Table'!$C26,'Prior YTD Data Pull'!$A$2:$A$605,0),MATCH("Estimated Third Party Settlements",'Prior YTD Data Pull'!$A$1:$CB$1,0)),"")</f>
        <v>707000</v>
      </c>
      <c r="AM26" s="38">
        <f>IFERROR(INDEX('Prior YTD Data Pull'!$A$2:$CB$605,MATCH('Prior YTD Data Table'!$C26,'Prior YTD Data Pull'!$A$2:$A$605,0),MATCH("Current Liabilities due to Affiliates",'Prior YTD Data Pull'!$A$1:$CB$1,0)),"")</f>
        <v>43621000</v>
      </c>
      <c r="AN26" s="38">
        <f>IFERROR(INDEX('Prior YTD Data Pull'!$A$2:$CB$605,MATCH('Prior YTD Data Table'!$C26,'Prior YTD Data Pull'!$A$2:$A$605,0),MATCH("Short Term Investments",'Prior YTD Data Pull'!$A$1:$CB$1,0)),"")</f>
        <v>39858000</v>
      </c>
      <c r="AO26" s="38">
        <f>IFERROR(INDEX('Prior YTD Data Pull'!$A$2:$CB$605,MATCH('Prior YTD Data Table'!$C26,'Prior YTD Data Pull'!$A$2:$A$605,0),MATCH("Cash and Cash Equivalents",'Prior YTD Data Pull'!$A$1:$CB$1,0)),"")</f>
        <v>10791000</v>
      </c>
      <c r="AP26" s="38">
        <f>IFERROR(INDEX('Prior YTD Data Pull'!$A$2:$CB$605,MATCH('Prior YTD Data Table'!$C26,'Prior YTD Data Pull'!$A$2:$A$605,0),MATCH("Interest Expense",'Prior YTD Data Pull'!$A$1:$CB$1,0)),"")</f>
        <v>253000</v>
      </c>
      <c r="AQ26" s="38">
        <f>IFERROR(INDEX('Prior YTD Data Pull'!$A$2:$CB$605,MATCH('Prior YTD Data Table'!$C26,'Prior YTD Data Pull'!$A$2:$A$605,0),MATCH("Long Term Debt Net of Current Portion",'Prior YTD Data Pull'!$A$1:$CB$1,0)),"")</f>
        <v>12283000</v>
      </c>
      <c r="AR26" s="38">
        <f>IFERROR(INDEX('Prior YTD Data Pull'!$A$2:$CB$605,MATCH('Prior YTD Data Table'!$C26,'Prior YTD Data Pull'!$A$2:$A$605,0),MATCH("Total Assets",'Prior YTD Data Pull'!$A$1:$CB$1,0)),"")</f>
        <v>187573000</v>
      </c>
      <c r="AS26" s="38">
        <f>IFERROR(INDEX('Prior YTD Data Pull'!$A$2:$CB$605,MATCH('Prior YTD Data Table'!$C26,'Prior YTD Data Pull'!$A$2:$A$605,0),MATCH("Long Term Debt Net of Current Portion",'Prior YTD Data Pull'!$A$1:$CB$1,0)),"")</f>
        <v>12283000</v>
      </c>
      <c r="AT26" s="38">
        <f>IFERROR(INDEX('Prior YTD Data Pull'!$A$2:$CB$605,MATCH('Prior YTD Data Table'!$C26,'Prior YTD Data Pull'!$A$2:$A$605,0),MATCH("Net Unrestricted Assets",'Prior YTD Data Pull'!$A$1:$CB$1,0)),"")</f>
        <v>97232000</v>
      </c>
      <c r="AU26" s="38">
        <f>IFERROR(INDEX('Prior YTD Data Pull'!$A$2:$CB$605,MATCH('Prior YTD Data Table'!$C26,'Prior YTD Data Pull'!$A$2:$A$605,0),MATCH("Unrealized Gains/Losses",'Prior YTD Data Pull'!$A$1:$CB$1,0)),"")</f>
        <v>794000</v>
      </c>
      <c r="AV26" s="38">
        <f>IFERROR(INDEX('Prior YTD Data Pull'!$A$2:$CB$605,MATCH('Prior YTD Data Table'!$C26,'Prior YTD Data Pull'!$A$2:$A$605,0),MATCH("Salary and Benefit Expense",'Prior YTD Data Pull'!$A$1:$CB$1,0)),"")</f>
        <v>40751000</v>
      </c>
      <c r="AW26" s="38"/>
      <c r="AX26" s="38"/>
      <c r="AY26" s="38"/>
      <c r="AZ26" s="38"/>
    </row>
    <row r="27" spans="1:52" ht="34.200000000000003" x14ac:dyDescent="0.3">
      <c r="A27" s="14" t="str">
        <f>IFERROR(INDEX('Static Data Tab'!$N$2:$N$610,MATCH(D27,'Static Data Tab'!$D$2:$D$610,0)), "")</f>
        <v>Brown University Health</v>
      </c>
      <c r="B27" s="57" t="s">
        <v>177</v>
      </c>
      <c r="C27" s="57">
        <v>114</v>
      </c>
      <c r="D27" s="57">
        <v>22350</v>
      </c>
      <c r="E27" s="14" t="str">
        <f>IFERROR(INDEX('Prior YTD Data Pull'!$A$1:$CB$605,MATCH('Prior YTD Data Table'!$C27,'Prior YTD Data Pull'!$A$1:$A$605,0),MATCH("Organization Type",'Prior YTD Data Pull'!$A$1:$CB$1,0)),"")</f>
        <v>AcuteHospital</v>
      </c>
      <c r="F27" s="14" t="str">
        <f>IFERROR(INDEX('Static Data Tab'!$E$2:$E$610,MATCH('Prior YTD Data Table'!$C27,'Static Data Tab'!$B$2:$B$610,0)), "-")</f>
        <v>Community-High Public Payer Hospital</v>
      </c>
      <c r="G27" s="46" t="str">
        <f>IFERROR(INDEX('Static Data Tab'!$J$2:$J$610,MATCH('Prior YTD Data Table'!$C27,'Static Data Tab'!$B$2:$B$610,0)), "")</f>
        <v>South Coast</v>
      </c>
      <c r="H27" s="14" t="str">
        <f>IFERROR(INDEX('Static Data Tab'!$F$2:$F$610,MATCH('Prior YTD Data Table'!$C27,'Static Data Tab'!$B$2:$B$610,0)), "")</f>
        <v>x</v>
      </c>
      <c r="I27" s="14">
        <f>IFERROR(INDEX('Static Data Tab'!$G$2:$G$610,MATCH('Prior YTD Data Table'!$C27,'Static Data Tab'!$B$2:$B$610,0)), "")</f>
        <v>0</v>
      </c>
      <c r="J27" s="14" t="str">
        <f>IFERROR(INDEX('Prior YTD Data Pull'!$A$2:$CB$605,MATCH('Prior YTD Data Table'!$C27,'Prior YTD Data Pull'!$A$2:$A$605,0),MATCH("Quarter Range",'Prior YTD Data Pull'!$A$1:$CB$1,0)),"")</f>
        <v xml:space="preserve">10/01/2024-03/31/2025
</v>
      </c>
      <c r="K27" s="37">
        <f t="shared" si="2"/>
        <v>3.2936536916672754E-2</v>
      </c>
      <c r="L27" s="37">
        <f t="shared" si="3"/>
        <v>-7.3826706412699252E-3</v>
      </c>
      <c r="M27" s="37">
        <f t="shared" si="4"/>
        <v>2.5553866275402827E-2</v>
      </c>
      <c r="N27" s="38">
        <f t="shared" si="5"/>
        <v>3849000</v>
      </c>
      <c r="O27" s="39">
        <f t="shared" si="6"/>
        <v>0.80282430527347015</v>
      </c>
      <c r="P27" s="38">
        <f>IFERROR(INDEX('Prior YTD Data Pull'!$A$2:$CB$605,MATCH('Prior YTD Data Table'!$C27,'Prior YTD Data Pull'!$A$2:$A$605,0),MATCH("Total Net Assets or Equity",'Prior YTD Data Pull'!$A$1:$CB$1,0)),"")</f>
        <v>-17803000</v>
      </c>
      <c r="Q27" s="38">
        <f>IFERROR(INDEX('Prior YTD Data Pull'!$A$2:$CB$605,MATCH('Prior YTD Data Table'!$C27,'Prior YTD Data Pull'!$A$2:$A$605,0),MATCH("Total Operating Revenue",'Prior YTD Data Pull'!$A$1:$CB$1,0)),"")</f>
        <v>151735000</v>
      </c>
      <c r="R27" s="38">
        <f>IFERROR(INDEX('Prior YTD Data Pull'!$A$2:$CB$605,MATCH('Prior YTD Data Table'!$C27,'Prior YTD Data Pull'!$A$2:$A$605,0),MATCH("Total Unrestricted Revenue Gains and Other Support",'Prior YTD Data Pull'!$A$1:$CB$1,0)),"")</f>
        <v>150623000</v>
      </c>
      <c r="S27" s="38">
        <f>IFERROR(INDEX('Prior YTD TS Data Pull'!$J$2:$J$128,MATCH('Prior YTD Data Table'!$C27, 'Prior YTD TS Data Pull'!$A$2:$A$128,0))+INDEX('Prior YTD TS Data Pull'!$N$2:$N$128,MATCH('Prior YTD Data Table'!$C27,'Prior YTD TS Data Pull'!$A$2:$A$609,0))+INDEX('Prior YTD TS Data Pull'!$R$2:$R$128,MATCH('Prior YTD Data Table'!$C27,'Prior YTD TS Data Pull'!$A$2:$A$609,0)),"")</f>
        <v>1549000</v>
      </c>
      <c r="T27" s="38">
        <f>IF(INDEX('Prior YTD TS Data Pull'!$A$1:$O$609,MATCH('Prior YTD Data Table'!$C27,'Prior YTD TS Data Pull'!$A$1:$A$609,0),MATCH("Temporary RN Staffing:
Line Reported on in Standardized Financials",'Prior YTD TS Data Pull'!$A$1:$O$1,0))="66.1: Salary and Benefit Expense",'Prior YTD Data Table'!$AV27-'Prior YTD Data Table'!$S27,0)</f>
        <v>0</v>
      </c>
      <c r="U27" s="38">
        <f>IFERROR(INDEX('Prior YTD Data Pull'!$A$2:$CB$605,MATCH('Prior YTD Data Table'!$C27,'Prior YTD Data Pull'!$A$2:$A$605,0),MATCH("Total Expenses Including Nonrecurring Gains Losses",'Prior YTD Data Pull'!$A$1:$CB$1,0)),"")</f>
        <v>146774000</v>
      </c>
      <c r="V27" s="41">
        <f t="shared" si="7"/>
        <v>0</v>
      </c>
      <c r="W27" s="41">
        <f t="shared" si="8"/>
        <v>62.58335757543702</v>
      </c>
      <c r="X27" s="41">
        <f t="shared" si="0"/>
        <v>425.79883187317478</v>
      </c>
      <c r="Y27" s="37">
        <f t="shared" si="9"/>
        <v>0.11308571428571429</v>
      </c>
      <c r="Z27" s="41">
        <f t="shared" si="1"/>
        <v>2.4074259491030454</v>
      </c>
      <c r="AA27" s="39">
        <f t="shared" si="10"/>
        <v>0.18760550110571703</v>
      </c>
      <c r="AB27" s="37">
        <f t="shared" si="11"/>
        <v>-4.6001989638376768E-2</v>
      </c>
      <c r="AC27" s="37">
        <f t="shared" si="12"/>
        <v>1.3410732417571891</v>
      </c>
      <c r="AD27" s="38">
        <f>IFERROR(INDEX('Prior YTD Data Pull'!$A$2:$CB$605,MATCH('Prior YTD Data Table'!$C27,'Prior YTD Data Pull'!$A$2:$A$605,0),MATCH("Net Patient Service Revenue",'Prior YTD Data Pull'!$A$1:$CB$1,0)),"")</f>
        <v>151252000</v>
      </c>
      <c r="AE27" s="38">
        <f>IFERROR(INDEX('Prior YTD Data Pull'!$A$2:$CB$605,MATCH('Prior YTD Data Table'!$C27,'Prior YTD Data Pull'!$A$2:$A$605,0),MATCH("Total Current Assets",'Prior YTD Data Pull'!$A$1:$CB$1,0)),"")</f>
        <v>268792000</v>
      </c>
      <c r="AF27" s="38">
        <f>IFERROR(INDEX('Prior YTD Data Pull'!$A$2:$CB$605,MATCH('Prior YTD Data Table'!$C27,'Prior YTD Data Pull'!$A$2:$A$605,0),MATCH("Total Current Liabilities",'Prior YTD Data Pull'!$A$1:$CB$1,0)),"")</f>
        <v>334808000</v>
      </c>
      <c r="AG27" s="38">
        <f>IFERROR(INDEX('Prior YTD Data Pull'!$A$2:$CB$605,MATCH('Prior YTD Data Table'!$C27,'Prior YTD Data Pull'!$A$2:$A$605,0),MATCH("Total Non Operating Revenue",'Prior YTD Data Pull'!$A$1:$CB$1,0)),"")</f>
        <v>-1112000</v>
      </c>
      <c r="AH27" s="38">
        <f>IFERROR(INDEX('Prior YTD Data Pull'!$A$2:$CB$605,MATCH('Prior YTD Data Table'!$C27,'Prior Year Data Pull'!$A$2:$A$593,0),MATCH("Less Accumulated Depreciation",'Prior YTD Data Pull'!$A$1:$CB$1,0)),"")</f>
        <v>0</v>
      </c>
      <c r="AI27" s="38">
        <f>IFERROR(INDEX('Prior YTD Data Pull'!$A$2:$CB$605,MATCH('Prior YTD Data Table'!$C27,'Prior YTD Data Pull'!$A$2:$A$605,0),MATCH("Depreciation and Amortization Expense",'Prior YTD Data Pull'!$A$1:$CB$1,0)),"")</f>
        <v>2954000</v>
      </c>
      <c r="AJ27" s="38">
        <f>IFERROR(INDEX('Prior YTD Data Pull'!$A$2:$CB$605,MATCH('Prior YTD Data Table'!$C27,'Prior YTD Data Pull'!$A$2:$A$605,0),MATCH("Net Patient Accounts Receivable",'Prior YTD Data Pull'!$A$1:$CB$1,0)),"")</f>
        <v>51726000</v>
      </c>
      <c r="AK27" s="14" t="str">
        <f>IF('Prior YTD Data Pull'!$H27 = 6, "183", IF('Prior YTD Data Pull'!$H27 = 3, "93",""))</f>
        <v>183</v>
      </c>
      <c r="AL27" s="38">
        <f>IFERROR(INDEX('Prior YTD Data Pull'!$A$2:$CB$605,MATCH('Prior YTD Data Table'!$C27,'Prior YTD Data Pull'!$A$2:$A$605,0),MATCH("Estimated Third Party Settlements",'Prior YTD Data Pull'!$A$1:$CB$1,0)),"")</f>
        <v>172000</v>
      </c>
      <c r="AM27" s="38">
        <f>IFERROR(INDEX('Prior YTD Data Pull'!$A$2:$CB$605,MATCH('Prior YTD Data Table'!$C27,'Prior YTD Data Pull'!$A$2:$A$605,0),MATCH("Current Liabilities due to Affiliates",'Prior YTD Data Pull'!$A$1:$CB$1,0)),"")</f>
        <v>0</v>
      </c>
      <c r="AN27" s="38">
        <f>IFERROR(INDEX('Prior YTD Data Pull'!$A$2:$CB$605,MATCH('Prior YTD Data Table'!$C27,'Prior YTD Data Pull'!$A$2:$A$605,0),MATCH("Short Term Investments",'Prior YTD Data Pull'!$A$1:$CB$1,0)),"")</f>
        <v>0</v>
      </c>
      <c r="AO27" s="38">
        <f>IFERROR(INDEX('Prior YTD Data Pull'!$A$2:$CB$605,MATCH('Prior YTD Data Table'!$C27,'Prior YTD Data Pull'!$A$2:$A$605,0),MATCH("Cash and Cash Equivalents",'Prior YTD Data Pull'!$A$1:$CB$1,0)),"")</f>
        <v>1892000</v>
      </c>
      <c r="AP27" s="38">
        <f>IFERROR(INDEX('Prior YTD Data Pull'!$A$2:$CB$605,MATCH('Prior YTD Data Table'!$C27,'Prior YTD Data Pull'!$A$2:$A$605,0),MATCH("Interest Expense",'Prior YTD Data Pull'!$A$1:$CB$1,0)),"")</f>
        <v>6421000</v>
      </c>
      <c r="AQ27" s="38">
        <f>IFERROR(INDEX('Prior YTD Data Pull'!$A$2:$CB$605,MATCH('Prior YTD Data Table'!$C27,'Prior YTD Data Pull'!$A$2:$A$605,0),MATCH("Long Term Debt Net of Current Portion",'Prior YTD Data Pull'!$A$1:$CB$1,0)),"")</f>
        <v>70000000</v>
      </c>
      <c r="AR27" s="38">
        <f>IFERROR(INDEX('Prior YTD Data Pull'!$A$2:$CB$605,MATCH('Prior YTD Data Table'!$C27,'Prior YTD Data Pull'!$A$2:$A$605,0),MATCH("Total Assets",'Prior YTD Data Pull'!$A$1:$CB$1,0)),"")</f>
        <v>387005000</v>
      </c>
      <c r="AS27" s="38">
        <f>IFERROR(INDEX('Prior YTD Data Pull'!$A$2:$CB$605,MATCH('Prior YTD Data Table'!$C27,'Prior YTD Data Pull'!$A$2:$A$605,0),MATCH("Long Term Debt Net of Current Portion",'Prior YTD Data Pull'!$A$1:$CB$1,0)),"")</f>
        <v>70000000</v>
      </c>
      <c r="AT27" s="38">
        <f>IFERROR(INDEX('Prior YTD Data Pull'!$A$2:$CB$605,MATCH('Prior YTD Data Table'!$C27,'Prior YTD Data Pull'!$A$2:$A$605,0),MATCH("Net Unrestricted Assets",'Prior YTD Data Pull'!$A$1:$CB$1,0)),"")</f>
        <v>-17803000</v>
      </c>
      <c r="AU27" s="38">
        <f>IFERROR(INDEX('Prior YTD Data Pull'!$A$2:$CB$605,MATCH('Prior YTD Data Table'!$C27,'Prior YTD Data Pull'!$A$2:$A$605,0),MATCH("Unrealized Gains/Losses",'Prior YTD Data Pull'!$A$1:$CB$1,0)),"")</f>
        <v>-1113000</v>
      </c>
      <c r="AV27" s="38">
        <f>IFERROR(INDEX('Prior YTD Data Pull'!$A$2:$CB$605,MATCH('Prior YTD Data Table'!$C27,'Prior YTD Data Pull'!$A$2:$A$605,0),MATCH("Salary and Benefit Expense",'Prior YTD Data Pull'!$A$1:$CB$1,0)),"")</f>
        <v>66944000</v>
      </c>
      <c r="AW27" s="47"/>
      <c r="AX27" s="47"/>
      <c r="AY27" s="47"/>
      <c r="AZ27" s="47"/>
    </row>
    <row r="28" spans="1:52" ht="34.200000000000003" x14ac:dyDescent="0.3">
      <c r="A28" s="14" t="str">
        <f>IFERROR(INDEX('Static Data Tab'!$N$2:$N$610,MATCH(D28,'Static Data Tab'!$D$2:$D$610,0)), "")</f>
        <v>Mass General Brigham</v>
      </c>
      <c r="B28" s="14" t="s">
        <v>143</v>
      </c>
      <c r="C28" s="14">
        <v>22</v>
      </c>
      <c r="D28" s="14">
        <v>3791</v>
      </c>
      <c r="E28" s="14" t="str">
        <f>IFERROR(INDEX('Prior YTD Data Pull'!$A$1:$CB$605,MATCH('Prior YTD Data Table'!$C28,'Prior YTD Data Pull'!$A$1:$A$605,0),MATCH("Organization Type",'Prior YTD Data Pull'!$A$1:$CB$1,0)),"")</f>
        <v>AcuteHospital</v>
      </c>
      <c r="F28" s="14" t="str">
        <f>IFERROR(INDEX('Static Data Tab'!$E$2:$E$610,MATCH('Prior YTD Data Table'!$C28,'Static Data Tab'!$B$2:$B$610,0)), "-")</f>
        <v>Academic Medical Center</v>
      </c>
      <c r="G28" s="46" t="str">
        <f>IFERROR(INDEX('Static Data Tab'!$J$2:$J$610,MATCH('Prior YTD Data Table'!$C28,'Static Data Tab'!$B$2:$B$610,0)), "")</f>
        <v>Metro Boston</v>
      </c>
      <c r="H28" s="14">
        <f>IFERROR(INDEX('Static Data Tab'!$F$2:$F$610,MATCH('Prior YTD Data Table'!$C28,'Static Data Tab'!$B$2:$B$610,0)), "")</f>
        <v>0</v>
      </c>
      <c r="I28" s="14" t="str">
        <f>IFERROR(INDEX('Static Data Tab'!$G$2:$G$610,MATCH('Prior YTD Data Table'!$C28,'Static Data Tab'!$B$2:$B$610,0)), "")</f>
        <v>x</v>
      </c>
      <c r="J28" s="14" t="str">
        <f>IFERROR(INDEX('Prior YTD Data Pull'!$A$2:$CB$605,MATCH('Prior YTD Data Table'!$C28,'Prior YTD Data Pull'!$A$2:$A$605,0),MATCH("Quarter Range",'Prior YTD Data Pull'!$A$1:$CB$1,0)),"")</f>
        <v xml:space="preserve">10/01/2024-03/31/2025
</v>
      </c>
      <c r="K28" s="37">
        <f t="shared" si="2"/>
        <v>3.9374516306886105E-2</v>
      </c>
      <c r="L28" s="37">
        <f t="shared" si="3"/>
        <v>2.72528928852642E-2</v>
      </c>
      <c r="M28" s="37">
        <f t="shared" si="4"/>
        <v>6.6627409192150308E-2</v>
      </c>
      <c r="N28" s="38">
        <f t="shared" si="5"/>
        <v>158065000</v>
      </c>
      <c r="O28" s="39" t="str">
        <f t="shared" si="6"/>
        <v/>
      </c>
      <c r="P28" s="38">
        <f>IFERROR(INDEX('Prior YTD Data Pull'!$A$2:$CB$605,MATCH('Prior YTD Data Table'!$C28,'Prior YTD Data Pull'!$A$2:$A$605,0),MATCH("Total Net Assets or Equity",'Prior YTD Data Pull'!$A$1:$CB$1,0)),"")</f>
        <v>0</v>
      </c>
      <c r="Q28" s="38">
        <f>IFERROR(INDEX('Prior YTD Data Pull'!$A$2:$CB$605,MATCH('Prior YTD Data Table'!$C28,'Prior YTD Data Pull'!$A$2:$A$605,0),MATCH("Total Operating Revenue",'Prior YTD Data Pull'!$A$1:$CB$1,0)),"")</f>
        <v>2307718000</v>
      </c>
      <c r="R28" s="38">
        <f>IFERROR(INDEX('Prior YTD Data Pull'!$A$2:$CB$605,MATCH('Prior YTD Data Table'!$C28,'Prior YTD Data Pull'!$A$2:$A$605,0),MATCH("Total Unrestricted Revenue Gains and Other Support",'Prior YTD Data Pull'!$A$1:$CB$1,0)),"")</f>
        <v>2372372000</v>
      </c>
      <c r="S28" s="38">
        <f>IFERROR(INDEX('Prior YTD TS Data Pull'!$J$2:$J$128,MATCH('Prior YTD Data Table'!$C28, 'Prior YTD TS Data Pull'!$A$2:$A$128,0))+INDEX('Prior YTD TS Data Pull'!$N$2:$N$128,MATCH('Prior YTD Data Table'!$C28,'Prior YTD TS Data Pull'!$A$2:$A$609,0))+INDEX('Prior YTD TS Data Pull'!$R$2:$R$128,MATCH('Prior YTD Data Table'!$C28,'Prior YTD TS Data Pull'!$A$2:$A$609,0)),"")</f>
        <v>13506186</v>
      </c>
      <c r="T28" s="38">
        <f>IF(INDEX('Prior YTD TS Data Pull'!$A$1:$O$609,MATCH('Prior YTD Data Table'!$C28,'Prior YTD TS Data Pull'!$A$1:$A$609,0),MATCH("Temporary RN Staffing:
Line Reported on in Standardized Financials",'Prior YTD TS Data Pull'!$A$1:$O$1,0))="66.1: Salary and Benefit Expense",'Prior YTD Data Table'!$AV28-'Prior YTD Data Table'!$S28,0)</f>
        <v>0</v>
      </c>
      <c r="U28" s="38">
        <f>IFERROR(INDEX('Prior YTD Data Pull'!$A$2:$CB$605,MATCH('Prior YTD Data Table'!$C28,'Prior YTD Data Pull'!$A$2:$A$605,0),MATCH("Total Expenses Including Nonrecurring Gains Losses",'Prior YTD Data Pull'!$A$1:$CB$1,0)),"")</f>
        <v>2214307000</v>
      </c>
      <c r="V28" s="41">
        <f t="shared" si="7"/>
        <v>2.0378667437490967E-2</v>
      </c>
      <c r="W28" s="41">
        <f t="shared" si="8"/>
        <v>0</v>
      </c>
      <c r="X28" s="41">
        <f t="shared" si="0"/>
        <v>0</v>
      </c>
      <c r="Y28" s="37" t="str">
        <f t="shared" si="9"/>
        <v/>
      </c>
      <c r="Z28" s="41">
        <f t="shared" si="1"/>
        <v>0</v>
      </c>
      <c r="AA28" s="39">
        <f t="shared" si="10"/>
        <v>12.471345902557401</v>
      </c>
      <c r="AB28" s="37" t="str">
        <f t="shared" si="11"/>
        <v/>
      </c>
      <c r="AC28" s="37" t="str">
        <f t="shared" si="12"/>
        <v/>
      </c>
      <c r="AD28" s="38">
        <f>IFERROR(INDEX('Prior YTD Data Pull'!$A$2:$CB$605,MATCH('Prior YTD Data Table'!$C28,'Prior YTD Data Pull'!$A$2:$A$605,0),MATCH("Net Patient Service Revenue",'Prior YTD Data Pull'!$A$1:$CB$1,0)),"")</f>
        <v>1624478000</v>
      </c>
      <c r="AE28" s="38">
        <f>IFERROR(INDEX('Prior YTD Data Pull'!$A$2:$CB$605,MATCH('Prior YTD Data Table'!$C28,'Prior YTD Data Pull'!$A$2:$A$605,0),MATCH("Total Current Assets",'Prior YTD Data Pull'!$A$1:$CB$1,0)),"")</f>
        <v>0</v>
      </c>
      <c r="AF28" s="38">
        <f>IFERROR(INDEX('Prior YTD Data Pull'!$A$2:$CB$605,MATCH('Prior YTD Data Table'!$C28,'Prior YTD Data Pull'!$A$2:$A$605,0),MATCH("Total Current Liabilities",'Prior YTD Data Pull'!$A$1:$CB$1,0)),"")</f>
        <v>0</v>
      </c>
      <c r="AG28" s="38">
        <f>IFERROR(INDEX('Prior YTD Data Pull'!$A$2:$CB$605,MATCH('Prior YTD Data Table'!$C28,'Prior YTD Data Pull'!$A$2:$A$605,0),MATCH("Total Non Operating Revenue",'Prior YTD Data Pull'!$A$1:$CB$1,0)),"")</f>
        <v>64654000</v>
      </c>
      <c r="AH28" s="38">
        <f>IFERROR(INDEX('Prior YTD Data Pull'!$A$2:$CB$605,MATCH('Prior YTD Data Table'!$C28,'Prior Year Data Pull'!$A$2:$A$593,0),MATCH("Less Accumulated Depreciation",'Prior YTD Data Pull'!$A$1:$CB$1,0)),"")</f>
        <v>1833000</v>
      </c>
      <c r="AI28" s="38">
        <f>IFERROR(INDEX('Prior YTD Data Pull'!$A$2:$CB$605,MATCH('Prior YTD Data Table'!$C28,'Prior YTD Data Pull'!$A$2:$A$605,0),MATCH("Depreciation and Amortization Expense",'Prior YTD Data Pull'!$A$1:$CB$1,0)),"")</f>
        <v>89947000</v>
      </c>
      <c r="AJ28" s="38">
        <f>IFERROR(INDEX('Prior YTD Data Pull'!$A$2:$CB$605,MATCH('Prior YTD Data Table'!$C28,'Prior YTD Data Pull'!$A$2:$A$605,0),MATCH("Net Patient Accounts Receivable",'Prior YTD Data Pull'!$A$1:$CB$1,0)),"")</f>
        <v>0</v>
      </c>
      <c r="AK28" s="14" t="str">
        <f>IF('Prior YTD Data Pull'!$H28 = 6, "183", IF('Prior YTD Data Pull'!$H28 = 3, "93",""))</f>
        <v>183</v>
      </c>
      <c r="AL28" s="38">
        <f>IFERROR(INDEX('Prior YTD Data Pull'!$A$2:$CB$605,MATCH('Prior YTD Data Table'!$C28,'Prior YTD Data Pull'!$A$2:$A$605,0),MATCH("Estimated Third Party Settlements",'Prior YTD Data Pull'!$A$1:$CB$1,0)),"")</f>
        <v>0</v>
      </c>
      <c r="AM28" s="38">
        <f>IFERROR(INDEX('Prior YTD Data Pull'!$A$2:$CB$605,MATCH('Prior YTD Data Table'!$C28,'Prior YTD Data Pull'!$A$2:$A$605,0),MATCH("Current Liabilities due to Affiliates",'Prior YTD Data Pull'!$A$1:$CB$1,0)),"")</f>
        <v>0</v>
      </c>
      <c r="AN28" s="38">
        <f>IFERROR(INDEX('Prior YTD Data Pull'!$A$2:$CB$605,MATCH('Prior YTD Data Table'!$C28,'Prior YTD Data Pull'!$A$2:$A$605,0),MATCH("Short Term Investments",'Prior YTD Data Pull'!$A$1:$CB$1,0)),"")</f>
        <v>0</v>
      </c>
      <c r="AO28" s="38">
        <f>IFERROR(INDEX('Prior YTD Data Pull'!$A$2:$CB$605,MATCH('Prior YTD Data Table'!$C28,'Prior YTD Data Pull'!$A$2:$A$605,0),MATCH("Cash and Cash Equivalents",'Prior YTD Data Pull'!$A$1:$CB$1,0)),"")</f>
        <v>0</v>
      </c>
      <c r="AP28" s="38">
        <f>IFERROR(INDEX('Prior YTD Data Pull'!$A$2:$CB$605,MATCH('Prior YTD Data Table'!$C28,'Prior YTD Data Pull'!$A$2:$A$605,0),MATCH("Interest Expense",'Prior YTD Data Pull'!$A$1:$CB$1,0)),"")</f>
        <v>21428000</v>
      </c>
      <c r="AQ28" s="38">
        <f>IFERROR(INDEX('Prior YTD Data Pull'!$A$2:$CB$605,MATCH('Prior YTD Data Table'!$C28,'Prior YTD Data Pull'!$A$2:$A$605,0),MATCH("Long Term Debt Net of Current Portion",'Prior YTD Data Pull'!$A$1:$CB$1,0)),"")</f>
        <v>0</v>
      </c>
      <c r="AR28" s="38">
        <f>IFERROR(INDEX('Prior YTD Data Pull'!$A$2:$CB$605,MATCH('Prior YTD Data Table'!$C28,'Prior YTD Data Pull'!$A$2:$A$605,0),MATCH("Total Assets",'Prior YTD Data Pull'!$A$1:$CB$1,0)),"")</f>
        <v>0</v>
      </c>
      <c r="AS28" s="38">
        <f>IFERROR(INDEX('Prior YTD Data Pull'!$A$2:$CB$605,MATCH('Prior YTD Data Table'!$C28,'Prior YTD Data Pull'!$A$2:$A$605,0),MATCH("Long Term Debt Net of Current Portion",'Prior YTD Data Pull'!$A$1:$CB$1,0)),"")</f>
        <v>0</v>
      </c>
      <c r="AT28" s="38">
        <f>IFERROR(INDEX('Prior YTD Data Pull'!$A$2:$CB$605,MATCH('Prior YTD Data Table'!$C28,'Prior YTD Data Pull'!$A$2:$A$605,0),MATCH("Net Unrestricted Assets",'Prior YTD Data Pull'!$A$1:$CB$1,0)),"")</f>
        <v>0</v>
      </c>
      <c r="AU28" s="38">
        <f>IFERROR(INDEX('Prior YTD Data Pull'!$A$2:$CB$605,MATCH('Prior YTD Data Table'!$C28,'Prior YTD Data Pull'!$A$2:$A$605,0),MATCH("Unrealized Gains/Losses",'Prior YTD Data Pull'!$A$1:$CB$1,0)),"")</f>
        <v>2204000</v>
      </c>
      <c r="AV28" s="38">
        <f>IFERROR(INDEX('Prior YTD Data Pull'!$A$2:$CB$605,MATCH('Prior YTD Data Table'!$C28,'Prior YTD Data Pull'!$A$2:$A$605,0),MATCH("Salary and Benefit Expense",'Prior YTD Data Pull'!$A$1:$CB$1,0)),"")</f>
        <v>783224000</v>
      </c>
      <c r="AW28" s="38"/>
      <c r="AX28" s="38"/>
      <c r="AY28" s="38"/>
      <c r="AZ28" s="38"/>
    </row>
    <row r="29" spans="1:52" ht="34.200000000000003" x14ac:dyDescent="0.3">
      <c r="A29" s="14" t="str">
        <f>IFERROR(INDEX('Static Data Tab'!$N$2:$N$610,MATCH(D29,'Static Data Tab'!$D$2:$D$610,0)), "")</f>
        <v xml:space="preserve">Baystate Health </v>
      </c>
      <c r="B29" s="57" t="s">
        <v>80</v>
      </c>
      <c r="C29" s="57">
        <v>106</v>
      </c>
      <c r="D29" s="57">
        <v>4066</v>
      </c>
      <c r="E29" s="14" t="str">
        <f>IFERROR(INDEX('Prior YTD Data Pull'!$A$1:$CB$605,MATCH('Prior YTD Data Table'!$C29,'Prior YTD Data Pull'!$A$1:$A$605,0),MATCH("Organization Type",'Prior YTD Data Pull'!$A$1:$CB$1,0)),"")</f>
        <v>AcuteHospital</v>
      </c>
      <c r="F29" s="14" t="str">
        <f>IFERROR(INDEX('Static Data Tab'!$E$2:$E$610,MATCH('Prior YTD Data Table'!$C29,'Static Data Tab'!$B$2:$B$610,0)), "-")</f>
        <v>Community-High Public Payer Hospital</v>
      </c>
      <c r="G29" s="46" t="str">
        <f>IFERROR(INDEX('Static Data Tab'!$J$2:$J$610,MATCH('Prior YTD Data Table'!$C29,'Static Data Tab'!$B$2:$B$610,0)), "")</f>
        <v>Western Massachusetts</v>
      </c>
      <c r="H29" s="14" t="str">
        <f>IFERROR(INDEX('Static Data Tab'!$F$2:$F$610,MATCH('Prior YTD Data Table'!$C29,'Static Data Tab'!$B$2:$B$610,0)), "")</f>
        <v>x</v>
      </c>
      <c r="I29" s="14">
        <f>IFERROR(INDEX('Static Data Tab'!$G$2:$G$610,MATCH('Prior YTD Data Table'!$C29,'Static Data Tab'!$B$2:$B$610,0)), "")</f>
        <v>0</v>
      </c>
      <c r="J29" s="14" t="str">
        <f>IFERROR(INDEX('Prior YTD Data Pull'!$A$2:$CB$605,MATCH('Prior YTD Data Table'!$C29,'Prior YTD Data Pull'!$A$2:$A$605,0),MATCH("Quarter Range",'Prior YTD Data Pull'!$A$1:$CB$1,0)),"")</f>
        <v xml:space="preserve">10/01/2024-03/31/2025
</v>
      </c>
      <c r="K29" s="37">
        <f t="shared" si="2"/>
        <v>3.3589080203407978E-2</v>
      </c>
      <c r="L29" s="37">
        <f t="shared" si="3"/>
        <v>-2.453385672227674E-4</v>
      </c>
      <c r="M29" s="37">
        <f t="shared" si="4"/>
        <v>3.3343741636185205E-2</v>
      </c>
      <c r="N29" s="38">
        <f t="shared" si="5"/>
        <v>1495000</v>
      </c>
      <c r="O29" s="39">
        <f t="shared" si="6"/>
        <v>1.2562966089770649</v>
      </c>
      <c r="P29" s="38">
        <f>IFERROR(INDEX('Prior YTD Data Pull'!$A$2:$CB$605,MATCH('Prior YTD Data Table'!$C29,'Prior YTD Data Pull'!$A$2:$A$605,0),MATCH("Total Net Assets or Equity",'Prior YTD Data Pull'!$A$1:$CB$1,0)),"")</f>
        <v>27515000</v>
      </c>
      <c r="Q29" s="38">
        <f>IFERROR(INDEX('Prior YTD Data Pull'!$A$2:$CB$605,MATCH('Prior YTD Data Table'!$C29,'Prior YTD Data Pull'!$A$2:$A$605,0),MATCH("Total Operating Revenue",'Prior YTD Data Pull'!$A$1:$CB$1,0)),"")</f>
        <v>44847000</v>
      </c>
      <c r="R29" s="38">
        <f>IFERROR(INDEX('Prior YTD Data Pull'!$A$2:$CB$605,MATCH('Prior YTD Data Table'!$C29,'Prior YTD Data Pull'!$A$2:$A$605,0),MATCH("Total Unrestricted Revenue Gains and Other Support",'Prior YTD Data Pull'!$A$1:$CB$1,0)),"")</f>
        <v>44836000</v>
      </c>
      <c r="S29" s="38" t="str">
        <f>IFERROR(INDEX('Prior YTD TS Data Pull'!$J$2:$J$128,MATCH('Prior YTD Data Table'!$C29, 'Prior YTD TS Data Pull'!$A$2:$A$128,0))+INDEX('Prior YTD TS Data Pull'!$N$2:$N$128,MATCH('Prior YTD Data Table'!$C29,'Prior YTD TS Data Pull'!$A$2:$A$609,0))+INDEX('Prior YTD TS Data Pull'!$R$2:$R$128,MATCH('Prior YTD Data Table'!$C29,'Prior YTD TS Data Pull'!$A$2:$A$609,0)),"")</f>
        <v/>
      </c>
      <c r="T29" s="38">
        <f>IF(INDEX('Prior YTD TS Data Pull'!$A$1:$O$609,MATCH('Prior YTD Data Table'!$C29,'Prior YTD TS Data Pull'!$A$1:$A$609,0),MATCH("Temporary RN Staffing:
Line Reported on in Standardized Financials",'Prior YTD TS Data Pull'!$A$1:$O$1,0))="66.1: Salary and Benefit Expense",'Prior YTD Data Table'!$AV29-'Prior YTD Data Table'!$S29,0)</f>
        <v>0</v>
      </c>
      <c r="U29" s="38">
        <f>IFERROR(INDEX('Prior YTD Data Pull'!$A$2:$CB$605,MATCH('Prior YTD Data Table'!$C29,'Prior YTD Data Pull'!$A$2:$A$605,0),MATCH("Total Expenses Including Nonrecurring Gains Losses",'Prior YTD Data Pull'!$A$1:$CB$1,0)),"")</f>
        <v>43341000</v>
      </c>
      <c r="V29" s="41">
        <f t="shared" si="7"/>
        <v>91.635950530035331</v>
      </c>
      <c r="W29" s="41">
        <f t="shared" si="8"/>
        <v>47.291385904206884</v>
      </c>
      <c r="X29" s="41">
        <f t="shared" si="0"/>
        <v>41.082084139264992</v>
      </c>
      <c r="Y29" s="37">
        <f t="shared" si="9"/>
        <v>0.95803620405924306</v>
      </c>
      <c r="Z29" s="41">
        <f t="shared" si="1"/>
        <v>13.211750483558994</v>
      </c>
      <c r="AA29" s="39">
        <f t="shared" si="10"/>
        <v>2.8781684382665578</v>
      </c>
      <c r="AB29" s="37">
        <f t="shared" si="11"/>
        <v>0.60652485396230571</v>
      </c>
      <c r="AC29" s="37">
        <f t="shared" si="12"/>
        <v>4.5765889871044275E-2</v>
      </c>
      <c r="AD29" s="38">
        <f>IFERROR(INDEX('Prior YTD Data Pull'!$A$2:$CB$605,MATCH('Prior YTD Data Table'!$C29,'Prior YTD Data Pull'!$A$2:$A$605,0),MATCH("Net Patient Service Revenue",'Prior YTD Data Pull'!$A$1:$CB$1,0)),"")</f>
        <v>43928000</v>
      </c>
      <c r="AE29" s="38">
        <f>IFERROR(INDEX('Prior YTD Data Pull'!$A$2:$CB$605,MATCH('Prior YTD Data Table'!$C29,'Prior YTD Data Pull'!$A$2:$A$605,0),MATCH("Total Current Assets",'Prior YTD Data Pull'!$A$1:$CB$1,0)),"")</f>
        <v>17857000</v>
      </c>
      <c r="AF29" s="38">
        <f>IFERROR(INDEX('Prior YTD Data Pull'!$A$2:$CB$605,MATCH('Prior YTD Data Table'!$C29,'Prior YTD Data Pull'!$A$2:$A$605,0),MATCH("Total Current Liabilities",'Prior YTD Data Pull'!$A$1:$CB$1,0)),"")</f>
        <v>14214000</v>
      </c>
      <c r="AG29" s="38">
        <f>IFERROR(INDEX('Prior YTD Data Pull'!$A$2:$CB$605,MATCH('Prior YTD Data Table'!$C29,'Prior YTD Data Pull'!$A$2:$A$605,0),MATCH("Total Non Operating Revenue",'Prior YTD Data Pull'!$A$1:$CB$1,0)),"")</f>
        <v>-11000</v>
      </c>
      <c r="AH29" s="38">
        <f>IFERROR(INDEX('Prior YTD Data Pull'!$A$2:$CB$605,MATCH('Prior YTD Data Table'!$C29,'Prior Year Data Pull'!$A$2:$A$593,0),MATCH("Less Accumulated Depreciation",'Prior YTD Data Pull'!$A$1:$CB$1,0)),"")</f>
        <v>181530818</v>
      </c>
      <c r="AI29" s="38">
        <f>IFERROR(INDEX('Prior YTD Data Pull'!$A$2:$CB$605,MATCH('Prior YTD Data Table'!$C29,'Prior YTD Data Pull'!$A$2:$A$605,0),MATCH("Depreciation and Amortization Expense",'Prior YTD Data Pull'!$A$1:$CB$1,0)),"")</f>
        <v>1981000</v>
      </c>
      <c r="AJ29" s="38">
        <f>IFERROR(INDEX('Prior YTD Data Pull'!$A$2:$CB$605,MATCH('Prior YTD Data Table'!$C29,'Prior YTD Data Pull'!$A$2:$A$605,0),MATCH("Net Patient Accounts Receivable",'Prior YTD Data Pull'!$A$1:$CB$1,0)),"")</f>
        <v>11352000</v>
      </c>
      <c r="AK29" s="14" t="str">
        <f>IF('Prior YTD Data Pull'!$H29 = 6, "183", IF('Prior YTD Data Pull'!$H29 = 3, "93",""))</f>
        <v>183</v>
      </c>
      <c r="AL29" s="38">
        <f>IFERROR(INDEX('Prior YTD Data Pull'!$A$2:$CB$605,MATCH('Prior YTD Data Table'!$C29,'Prior YTD Data Pull'!$A$2:$A$605,0),MATCH("Estimated Third Party Settlements",'Prior YTD Data Pull'!$A$1:$CB$1,0)),"")</f>
        <v>4929000</v>
      </c>
      <c r="AM29" s="38">
        <f>IFERROR(INDEX('Prior YTD Data Pull'!$A$2:$CB$605,MATCH('Prior YTD Data Table'!$C29,'Prior YTD Data Pull'!$A$2:$A$605,0),MATCH("Current Liabilities due to Affiliates",'Prior YTD Data Pull'!$A$1:$CB$1,0)),"")</f>
        <v>2450000</v>
      </c>
      <c r="AN29" s="38">
        <f>IFERROR(INDEX('Prior YTD Data Pull'!$A$2:$CB$605,MATCH('Prior YTD Data Table'!$C29,'Prior YTD Data Pull'!$A$2:$A$605,0),MATCH("Short Term Investments",'Prior YTD Data Pull'!$A$1:$CB$1,0)),"")</f>
        <v>10000</v>
      </c>
      <c r="AO29" s="38">
        <f>IFERROR(INDEX('Prior YTD Data Pull'!$A$2:$CB$605,MATCH('Prior YTD Data Table'!$C29,'Prior YTD Data Pull'!$A$2:$A$605,0),MATCH("Cash and Cash Equivalents",'Prior YTD Data Pull'!$A$1:$CB$1,0)),"")</f>
        <v>2976000</v>
      </c>
      <c r="AP29" s="38">
        <f>IFERROR(INDEX('Prior YTD Data Pull'!$A$2:$CB$605,MATCH('Prior YTD Data Table'!$C29,'Prior YTD Data Pull'!$A$2:$A$605,0),MATCH("Interest Expense",'Prior YTD Data Pull'!$A$1:$CB$1,0)),"")</f>
        <v>27000</v>
      </c>
      <c r="AQ29" s="38">
        <f>IFERROR(INDEX('Prior YTD Data Pull'!$A$2:$CB$605,MATCH('Prior YTD Data Table'!$C29,'Prior YTD Data Pull'!$A$2:$A$605,0),MATCH("Long Term Debt Net of Current Portion",'Prior YTD Data Pull'!$A$1:$CB$1,0)),"")</f>
        <v>1196000</v>
      </c>
      <c r="AR29" s="38">
        <f>IFERROR(INDEX('Prior YTD Data Pull'!$A$2:$CB$605,MATCH('Prior YTD Data Table'!$C29,'Prior YTD Data Pull'!$A$2:$A$605,0),MATCH("Total Assets",'Prior YTD Data Pull'!$A$1:$CB$1,0)),"")</f>
        <v>45365000</v>
      </c>
      <c r="AS29" s="38">
        <f>IFERROR(INDEX('Prior YTD Data Pull'!$A$2:$CB$605,MATCH('Prior YTD Data Table'!$C29,'Prior YTD Data Pull'!$A$2:$A$605,0),MATCH("Long Term Debt Net of Current Portion",'Prior YTD Data Pull'!$A$1:$CB$1,0)),"")</f>
        <v>1196000</v>
      </c>
      <c r="AT29" s="38">
        <f>IFERROR(INDEX('Prior YTD Data Pull'!$A$2:$CB$605,MATCH('Prior YTD Data Table'!$C29,'Prior YTD Data Pull'!$A$2:$A$605,0),MATCH("Net Unrestricted Assets",'Prior YTD Data Pull'!$A$1:$CB$1,0)),"")</f>
        <v>24937000</v>
      </c>
      <c r="AU29" s="38">
        <f>IFERROR(INDEX('Prior YTD Data Pull'!$A$2:$CB$605,MATCH('Prior YTD Data Table'!$C29,'Prior YTD Data Pull'!$A$2:$A$605,0),MATCH("Unrealized Gains/Losses",'Prior YTD Data Pull'!$A$1:$CB$1,0)),"")</f>
        <v>-17000</v>
      </c>
      <c r="AV29" s="38">
        <f>IFERROR(INDEX('Prior YTD Data Pull'!$A$2:$CB$605,MATCH('Prior YTD Data Table'!$C29,'Prior YTD Data Pull'!$A$2:$A$605,0),MATCH("Salary and Benefit Expense",'Prior YTD Data Pull'!$A$1:$CB$1,0)),"")</f>
        <v>20281000</v>
      </c>
      <c r="AW29" s="47"/>
      <c r="AX29" s="47"/>
      <c r="AY29" s="47"/>
      <c r="AZ29" s="47"/>
    </row>
    <row r="30" spans="1:52" ht="34.200000000000003" x14ac:dyDescent="0.3">
      <c r="A30" s="14" t="str">
        <f>IFERROR(INDEX('Static Data Tab'!$N$2:$N$610,MATCH(D30,'Static Data Tab'!$D$2:$D$610,0)), "")</f>
        <v>Berkshire Health Systems</v>
      </c>
      <c r="B30" s="14" t="s">
        <v>207</v>
      </c>
      <c r="C30" s="14">
        <v>21965</v>
      </c>
      <c r="D30" s="14">
        <v>3106</v>
      </c>
      <c r="E30" s="14" t="str">
        <f>IFERROR(INDEX('Prior YTD Data Pull'!$A$1:$CB$605,MATCH('Prior YTD Data Table'!$C30,'Prior YTD Data Pull'!$A$1:$A$605,0),MATCH("Organization Type",'Prior YTD Data Pull'!$A$1:$CB$1,0)),"")</f>
        <v>AcuteHospital</v>
      </c>
      <c r="F30" s="14" t="str">
        <f>IFERROR(INDEX('Static Data Tab'!$E$2:$E$610,MATCH('Prior YTD Data Table'!$C30,'Static Data Tab'!$B$2:$B$610,0)), "-")</f>
        <v>Community-High Public Payer Hospital</v>
      </c>
      <c r="G30" s="46" t="str">
        <f>IFERROR(INDEX('Static Data Tab'!$J$2:$J$610,MATCH('Prior YTD Data Table'!$C30,'Static Data Tab'!$B$2:$B$610,0)), "")</f>
        <v>Western Massachusetts</v>
      </c>
      <c r="H30" s="14">
        <f>IFERROR(INDEX('Static Data Tab'!$F$2:$F$610,MATCH('Prior YTD Data Table'!$C30,'Static Data Tab'!$B$2:$B$610,0)), "")</f>
        <v>0</v>
      </c>
      <c r="I30" s="14">
        <f>IFERROR(INDEX('Static Data Tab'!$G$2:$G$610,MATCH('Prior YTD Data Table'!$C30,'Static Data Tab'!$B$2:$B$610,0)), "")</f>
        <v>0</v>
      </c>
      <c r="J30" s="14" t="str">
        <f>IFERROR(INDEX('Prior YTD Data Pull'!$A$2:$CB$605,MATCH('Prior YTD Data Table'!$C30,'Prior YTD Data Pull'!$A$2:$A$605,0),MATCH("Quarter Range",'Prior YTD Data Pull'!$A$1:$CB$1,0)),"")</f>
        <v xml:space="preserve">10/01/2024-03/31/2025
</v>
      </c>
      <c r="K30" s="37">
        <f t="shared" si="2"/>
        <v>0.14879744937036576</v>
      </c>
      <c r="L30" s="37">
        <f t="shared" si="3"/>
        <v>0</v>
      </c>
      <c r="M30" s="37">
        <f t="shared" si="4"/>
        <v>0.14879744937036576</v>
      </c>
      <c r="N30" s="38">
        <f t="shared" si="5"/>
        <v>4284122</v>
      </c>
      <c r="O30" s="39">
        <f t="shared" si="6"/>
        <v>0.40080940439144458</v>
      </c>
      <c r="P30" s="38">
        <f>IFERROR(INDEX('Prior YTD Data Pull'!$A$2:$CB$605,MATCH('Prior YTD Data Table'!$C30,'Prior YTD Data Pull'!$A$2:$A$605,0),MATCH("Total Net Assets or Equity",'Prior YTD Data Pull'!$A$1:$CB$1,0)),"")</f>
        <v>-1502184</v>
      </c>
      <c r="Q30" s="38">
        <f>IFERROR(INDEX('Prior YTD Data Pull'!$A$2:$CB$605,MATCH('Prior YTD Data Table'!$C30,'Prior YTD Data Pull'!$A$2:$A$605,0),MATCH("Total Operating Revenue",'Prior YTD Data Pull'!$A$1:$CB$1,0)),"")</f>
        <v>28791636</v>
      </c>
      <c r="R30" s="38">
        <f>IFERROR(INDEX('Prior YTD Data Pull'!$A$2:$CB$605,MATCH('Prior YTD Data Table'!$C30,'Prior YTD Data Pull'!$A$2:$A$605,0),MATCH("Total Unrestricted Revenue Gains and Other Support",'Prior YTD Data Pull'!$A$1:$CB$1,0)),"")</f>
        <v>28791636</v>
      </c>
      <c r="S30" s="38">
        <f>IFERROR(INDEX('Prior YTD TS Data Pull'!$J$2:$J$128,MATCH('Prior YTD Data Table'!$C30, 'Prior YTD TS Data Pull'!$A$2:$A$128,0))+INDEX('Prior YTD TS Data Pull'!$N$2:$N$128,MATCH('Prior YTD Data Table'!$C30,'Prior YTD TS Data Pull'!$A$2:$A$609,0))+INDEX('Prior YTD TS Data Pull'!$R$2:$R$128,MATCH('Prior YTD Data Table'!$C30,'Prior YTD TS Data Pull'!$A$2:$A$609,0)),"")</f>
        <v>519139</v>
      </c>
      <c r="T30" s="38">
        <f>IF(INDEX('Prior YTD TS Data Pull'!$A$1:$O$609,MATCH('Prior YTD Data Table'!$C30,'Prior YTD TS Data Pull'!$A$1:$A$609,0),MATCH("Temporary RN Staffing:
Line Reported on in Standardized Financials",'Prior YTD TS Data Pull'!$A$1:$O$1,0))="66.1: Salary and Benefit Expense",'Prior YTD Data Table'!$AV30-'Prior YTD Data Table'!$S30,0)</f>
        <v>0</v>
      </c>
      <c r="U30" s="38">
        <f>IFERROR(INDEX('Prior YTD Data Pull'!$A$2:$CB$605,MATCH('Prior YTD Data Table'!$C30,'Prior YTD Data Pull'!$A$2:$A$605,0),MATCH("Total Expenses Including Nonrecurring Gains Losses",'Prior YTD Data Pull'!$A$1:$CB$1,0)),"")</f>
        <v>24507514</v>
      </c>
      <c r="V30" s="41">
        <f t="shared" si="7"/>
        <v>188.35950616442545</v>
      </c>
      <c r="W30" s="41">
        <f t="shared" si="8"/>
        <v>76.277711390436536</v>
      </c>
      <c r="X30" s="41">
        <f t="shared" si="0"/>
        <v>221.98019737413108</v>
      </c>
      <c r="Y30" s="37">
        <f t="shared" si="9"/>
        <v>0.21773598233967997</v>
      </c>
      <c r="Z30" s="41">
        <f t="shared" si="1"/>
        <v>-1.3081137984214981</v>
      </c>
      <c r="AA30" s="39" t="str">
        <f t="shared" si="10"/>
        <v/>
      </c>
      <c r="AB30" s="37">
        <f t="shared" si="11"/>
        <v>-4.9316756046989103E-2</v>
      </c>
      <c r="AC30" s="37">
        <f t="shared" si="12"/>
        <v>0</v>
      </c>
      <c r="AD30" s="38">
        <f>IFERROR(INDEX('Prior YTD Data Pull'!$A$2:$CB$605,MATCH('Prior YTD Data Table'!$C30,'Prior YTD Data Pull'!$A$2:$A$605,0),MATCH("Net Patient Service Revenue",'Prior YTD Data Pull'!$A$1:$CB$1,0)),"")</f>
        <v>28056721</v>
      </c>
      <c r="AE30" s="38">
        <f>IFERROR(INDEX('Prior YTD Data Pull'!$A$2:$CB$605,MATCH('Prior YTD Data Table'!$C30,'Prior YTD Data Pull'!$A$2:$A$605,0),MATCH("Total Current Assets",'Prior YTD Data Pull'!$A$1:$CB$1,0)),"")</f>
        <v>12427302</v>
      </c>
      <c r="AF30" s="38">
        <f>IFERROR(INDEX('Prior YTD Data Pull'!$A$2:$CB$605,MATCH('Prior YTD Data Table'!$C30,'Prior YTD Data Pull'!$A$2:$A$605,0),MATCH("Total Current Liabilities",'Prior YTD Data Pull'!$A$1:$CB$1,0)),"")</f>
        <v>31005515</v>
      </c>
      <c r="AG30" s="38">
        <f>IFERROR(INDEX('Prior YTD Data Pull'!$A$2:$CB$605,MATCH('Prior YTD Data Table'!$C30,'Prior YTD Data Pull'!$A$2:$A$605,0),MATCH("Total Non Operating Revenue",'Prior YTD Data Pull'!$A$1:$CB$1,0)),"")</f>
        <v>0</v>
      </c>
      <c r="AH30" s="38">
        <f>IFERROR(INDEX('Prior YTD Data Pull'!$A$2:$CB$605,MATCH('Prior YTD Data Table'!$C30,'Prior Year Data Pull'!$A$2:$A$593,0),MATCH("Less Accumulated Depreciation",'Prior YTD Data Pull'!$A$1:$CB$1,0)),"")</f>
        <v>243209606</v>
      </c>
      <c r="AI30" s="38">
        <f>IFERROR(INDEX('Prior YTD Data Pull'!$A$2:$CB$605,MATCH('Prior YTD Data Table'!$C30,'Prior YTD Data Pull'!$A$2:$A$605,0),MATCH("Depreciation and Amortization Expense",'Prior YTD Data Pull'!$A$1:$CB$1,0)),"")</f>
        <v>1291199</v>
      </c>
      <c r="AJ30" s="38">
        <f>IFERROR(INDEX('Prior YTD Data Pull'!$A$2:$CB$605,MATCH('Prior YTD Data Table'!$C30,'Prior YTD Data Pull'!$A$2:$A$605,0),MATCH("Net Patient Accounts Receivable",'Prior YTD Data Pull'!$A$1:$CB$1,0)),"")</f>
        <v>11694549</v>
      </c>
      <c r="AK30" s="14" t="str">
        <f>IF('Prior YTD Data Pull'!$H30 = 6, "183", IF('Prior YTD Data Pull'!$H30 = 3, "93",""))</f>
        <v>183</v>
      </c>
      <c r="AL30" s="38">
        <f>IFERROR(INDEX('Prior YTD Data Pull'!$A$2:$CB$605,MATCH('Prior YTD Data Table'!$C30,'Prior YTD Data Pull'!$A$2:$A$605,0),MATCH("Estimated Third Party Settlements",'Prior YTD Data Pull'!$A$1:$CB$1,0)),"")</f>
        <v>2843973</v>
      </c>
      <c r="AM30" s="38">
        <f>IFERROR(INDEX('Prior YTD Data Pull'!$A$2:$CB$605,MATCH('Prior YTD Data Table'!$C30,'Prior YTD Data Pull'!$A$2:$A$605,0),MATCH("Current Liabilities due to Affiliates",'Prior YTD Data Pull'!$A$1:$CB$1,0)),"")</f>
        <v>25605878</v>
      </c>
      <c r="AN30" s="38">
        <f>IFERROR(INDEX('Prior YTD Data Pull'!$A$2:$CB$605,MATCH('Prior YTD Data Table'!$C30,'Prior YTD Data Pull'!$A$2:$A$605,0),MATCH("Short Term Investments",'Prior YTD Data Pull'!$A$1:$CB$1,0)),"")</f>
        <v>0</v>
      </c>
      <c r="AO30" s="38">
        <f>IFERROR(INDEX('Prior YTD Data Pull'!$A$2:$CB$605,MATCH('Prior YTD Data Table'!$C30,'Prior YTD Data Pull'!$A$2:$A$605,0),MATCH("Cash and Cash Equivalents",'Prior YTD Data Pull'!$A$1:$CB$1,0)),"")</f>
        <v>-165954</v>
      </c>
      <c r="AP30" s="38">
        <f>IFERROR(INDEX('Prior YTD Data Pull'!$A$2:$CB$605,MATCH('Prior YTD Data Table'!$C30,'Prior YTD Data Pull'!$A$2:$A$605,0),MATCH("Interest Expense",'Prior YTD Data Pull'!$A$1:$CB$1,0)),"")</f>
        <v>0</v>
      </c>
      <c r="AQ30" s="38">
        <f>IFERROR(INDEX('Prior YTD Data Pull'!$A$2:$CB$605,MATCH('Prior YTD Data Table'!$C30,'Prior YTD Data Pull'!$A$2:$A$605,0),MATCH("Long Term Debt Net of Current Portion",'Prior YTD Data Pull'!$A$1:$CB$1,0)),"")</f>
        <v>0</v>
      </c>
      <c r="AR30" s="38">
        <f>IFERROR(INDEX('Prior YTD Data Pull'!$A$2:$CB$605,MATCH('Prior YTD Data Table'!$C30,'Prior YTD Data Pull'!$A$2:$A$605,0),MATCH("Total Assets",'Prior YTD Data Pull'!$A$1:$CB$1,0)),"")</f>
        <v>30459911</v>
      </c>
      <c r="AS30" s="38">
        <f>IFERROR(INDEX('Prior YTD Data Pull'!$A$2:$CB$605,MATCH('Prior YTD Data Table'!$C30,'Prior YTD Data Pull'!$A$2:$A$605,0),MATCH("Long Term Debt Net of Current Portion",'Prior YTD Data Pull'!$A$1:$CB$1,0)),"")</f>
        <v>0</v>
      </c>
      <c r="AT30" s="38">
        <f>IFERROR(INDEX('Prior YTD Data Pull'!$A$2:$CB$605,MATCH('Prior YTD Data Table'!$C30,'Prior YTD Data Pull'!$A$2:$A$605,0),MATCH("Net Unrestricted Assets",'Prior YTD Data Pull'!$A$1:$CB$1,0)),"")</f>
        <v>-1512184</v>
      </c>
      <c r="AU30" s="38">
        <f>IFERROR(INDEX('Prior YTD Data Pull'!$A$2:$CB$605,MATCH('Prior YTD Data Table'!$C30,'Prior YTD Data Pull'!$A$2:$A$605,0),MATCH("Unrealized Gains/Losses",'Prior YTD Data Pull'!$A$1:$CB$1,0)),"")</f>
        <v>0</v>
      </c>
      <c r="AV30" s="38">
        <f>IFERROR(INDEX('Prior YTD Data Pull'!$A$2:$CB$605,MATCH('Prior YTD Data Table'!$C30,'Prior YTD Data Pull'!$A$2:$A$605,0),MATCH("Salary and Benefit Expense",'Prior YTD Data Pull'!$A$1:$CB$1,0)),"")</f>
        <v>10556567</v>
      </c>
      <c r="AW30" s="38"/>
      <c r="AX30" s="38"/>
      <c r="AY30" s="38"/>
      <c r="AZ30" s="38"/>
    </row>
    <row r="31" spans="1:52" ht="34.200000000000003" x14ac:dyDescent="0.3">
      <c r="A31" s="14" t="str">
        <f>IFERROR(INDEX('Static Data Tab'!$N$2:$N$610,MATCH(D31,'Static Data Tab'!$D$2:$D$610,0)), "")</f>
        <v>Boston Medical Center Health System</v>
      </c>
      <c r="B31" s="57" t="s">
        <v>693</v>
      </c>
      <c r="C31" s="57">
        <v>126</v>
      </c>
      <c r="D31" s="57">
        <v>14287</v>
      </c>
      <c r="E31" s="14" t="str">
        <f>IFERROR(INDEX('Prior YTD Data Pull'!$A$1:$CB$605,MATCH('Prior YTD Data Table'!$C31,'Prior YTD Data Pull'!$A$1:$A$605,0),MATCH("Organization Type",'Prior YTD Data Pull'!$A$1:$CB$1,0)),"")</f>
        <v>AcuteHospital</v>
      </c>
      <c r="F31" s="14" t="str">
        <f>IFERROR(INDEX('Static Data Tab'!$E$2:$E$610,MATCH('Prior YTD Data Table'!$C31,'Static Data Tab'!$B$2:$B$610,0)), "-")</f>
        <v>Teaching Hospital</v>
      </c>
      <c r="G31" s="46" t="str">
        <f>IFERROR(INDEX('Static Data Tab'!$J$2:$J$610,MATCH('Prior YTD Data Table'!$C31,'Static Data Tab'!$B$2:$B$610,0)), "")</f>
        <v>Metro Boston</v>
      </c>
      <c r="H31" s="14" t="str">
        <f>IFERROR(INDEX('Static Data Tab'!$F$2:$F$610,MATCH('Prior YTD Data Table'!$C31,'Static Data Tab'!$B$2:$B$610,0)), "")</f>
        <v>x</v>
      </c>
      <c r="I31" s="14" t="str">
        <f>IFERROR(INDEX('Static Data Tab'!$G$2:$G$610,MATCH('Prior YTD Data Table'!$C31,'Static Data Tab'!$B$2:$B$610,0)), "")</f>
        <v>x</v>
      </c>
      <c r="J31" s="14" t="str">
        <f>IFERROR(INDEX('Prior YTD Data Pull'!$A$2:$CB$605,MATCH('Prior YTD Data Table'!$C31,'Prior YTD Data Pull'!$A$2:$A$605,0),MATCH("Quarter Range",'Prior YTD Data Pull'!$A$1:$CB$1,0)),"")</f>
        <v xml:space="preserve">10/01/2024-03/31/2025
</v>
      </c>
      <c r="K31" s="37">
        <f t="shared" si="2"/>
        <v>-0.32849488060835991</v>
      </c>
      <c r="L31" s="37">
        <f t="shared" si="3"/>
        <v>5.6461791658106116E-4</v>
      </c>
      <c r="M31" s="37">
        <f t="shared" si="4"/>
        <v>-0.32793026269177883</v>
      </c>
      <c r="N31" s="38">
        <f t="shared" si="5"/>
        <v>-55291609</v>
      </c>
      <c r="O31" s="39">
        <f t="shared" si="6"/>
        <v>0.87910584310452977</v>
      </c>
      <c r="P31" s="38">
        <f>IFERROR(INDEX('Prior YTD Data Pull'!$A$2:$CB$605,MATCH('Prior YTD Data Table'!$C31,'Prior YTD Data Pull'!$A$2:$A$605,0),MATCH("Total Net Assets or Equity",'Prior YTD Data Pull'!$A$1:$CB$1,0)),"")</f>
        <v>-55291927</v>
      </c>
      <c r="Q31" s="38">
        <f>IFERROR(INDEX('Prior YTD Data Pull'!$A$2:$CB$605,MATCH('Prior YTD Data Table'!$C31,'Prior YTD Data Pull'!$A$2:$A$605,0),MATCH("Total Operating Revenue",'Prior YTD Data Pull'!$A$1:$CB$1,0)),"")</f>
        <v>168512628</v>
      </c>
      <c r="R31" s="38">
        <f>IFERROR(INDEX('Prior YTD Data Pull'!$A$2:$CB$605,MATCH('Prior YTD Data Table'!$C31,'Prior YTD Data Pull'!$A$2:$A$605,0),MATCH("Total Unrestricted Revenue Gains and Other Support",'Prior YTD Data Pull'!$A$1:$CB$1,0)),"")</f>
        <v>168607827</v>
      </c>
      <c r="S31" s="38">
        <f>IFERROR(INDEX('Prior YTD TS Data Pull'!$J$2:$J$128,MATCH('Prior YTD Data Table'!$C31, 'Prior YTD TS Data Pull'!$A$2:$A$128,0))+INDEX('Prior YTD TS Data Pull'!$N$2:$N$128,MATCH('Prior YTD Data Table'!$C31,'Prior YTD TS Data Pull'!$A$2:$A$609,0))+INDEX('Prior YTD TS Data Pull'!$R$2:$R$128,MATCH('Prior YTD Data Table'!$C31,'Prior YTD TS Data Pull'!$A$2:$A$609,0)),"")</f>
        <v>1799751</v>
      </c>
      <c r="T31" s="38">
        <f>IF(INDEX('Prior YTD TS Data Pull'!$A$1:$O$609,MATCH('Prior YTD Data Table'!$C31,'Prior YTD TS Data Pull'!$A$1:$A$609,0),MATCH("Temporary RN Staffing:
Line Reported on in Standardized Financials",'Prior YTD TS Data Pull'!$A$1:$O$1,0))="66.1: Salary and Benefit Expense",'Prior YTD Data Table'!$AV31-'Prior YTD Data Table'!$S31,0)</f>
        <v>152069810</v>
      </c>
      <c r="U31" s="38">
        <f>IFERROR(INDEX('Prior YTD Data Pull'!$A$2:$CB$605,MATCH('Prior YTD Data Table'!$C31,'Prior YTD Data Pull'!$A$2:$A$605,0),MATCH("Total Expenses Including Nonrecurring Gains Losses",'Prior YTD Data Pull'!$A$1:$CB$1,0)),"")</f>
        <v>223899436</v>
      </c>
      <c r="V31" s="41">
        <f t="shared" si="7"/>
        <v>319.60941617948919</v>
      </c>
      <c r="W31" s="41">
        <f t="shared" si="8"/>
        <v>70.680239541260406</v>
      </c>
      <c r="X31" s="41">
        <f t="shared" si="0"/>
        <v>53.266765868678036</v>
      </c>
      <c r="Y31" s="37">
        <f t="shared" si="9"/>
        <v>-1.731457435685273</v>
      </c>
      <c r="Z31" s="41">
        <f t="shared" si="1"/>
        <v>17.652308921393356</v>
      </c>
      <c r="AA31" s="39">
        <f t="shared" si="10"/>
        <v>-8.1847713998493354</v>
      </c>
      <c r="AB31" s="37">
        <f t="shared" si="11"/>
        <v>-0.7298490698589849</v>
      </c>
      <c r="AC31" s="37">
        <f t="shared" si="12"/>
        <v>-0.13805688674092581</v>
      </c>
      <c r="AD31" s="38">
        <f>IFERROR(INDEX('Prior YTD Data Pull'!$A$2:$CB$605,MATCH('Prior YTD Data Table'!$C31,'Prior YTD Data Pull'!$A$2:$A$605,0),MATCH("Net Patient Service Revenue",'Prior YTD Data Pull'!$A$1:$CB$1,0)),"")</f>
        <v>166229734</v>
      </c>
      <c r="AE31" s="38">
        <f>IFERROR(INDEX('Prior YTD Data Pull'!$A$2:$CB$605,MATCH('Prior YTD Data Table'!$C31,'Prior YTD Data Pull'!$A$2:$A$605,0),MATCH("Total Current Assets",'Prior YTD Data Pull'!$A$1:$CB$1,0)),"")</f>
        <v>57192613</v>
      </c>
      <c r="AF31" s="38">
        <f>IFERROR(INDEX('Prior YTD Data Pull'!$A$2:$CB$605,MATCH('Prior YTD Data Table'!$C31,'Prior YTD Data Pull'!$A$2:$A$605,0),MATCH("Total Current Liabilities",'Prior YTD Data Pull'!$A$1:$CB$1,0)),"")</f>
        <v>65057710</v>
      </c>
      <c r="AG31" s="38">
        <f>IFERROR(INDEX('Prior YTD Data Pull'!$A$2:$CB$605,MATCH('Prior YTD Data Table'!$C31,'Prior YTD Data Pull'!$A$2:$A$605,0),MATCH("Total Non Operating Revenue",'Prior YTD Data Pull'!$A$1:$CB$1,0)),"")</f>
        <v>95199</v>
      </c>
      <c r="AH31" s="38">
        <f>IFERROR(INDEX('Prior YTD Data Pull'!$A$2:$CB$605,MATCH('Prior YTD Data Table'!$C31,'Prior Year Data Pull'!$A$2:$A$593,0),MATCH("Less Accumulated Depreciation",'Prior YTD Data Pull'!$A$1:$CB$1,0)),"")</f>
        <v>125030884</v>
      </c>
      <c r="AI31" s="38">
        <f>IFERROR(INDEX('Prior YTD Data Pull'!$A$2:$CB$605,MATCH('Prior YTD Data Table'!$C31,'Prior YTD Data Pull'!$A$2:$A$605,0),MATCH("Depreciation and Amortization Expense",'Prior YTD Data Pull'!$A$1:$CB$1,0)),"")</f>
        <v>391199</v>
      </c>
      <c r="AJ31" s="38">
        <f>IFERROR(INDEX('Prior YTD Data Pull'!$A$2:$CB$605,MATCH('Prior YTD Data Table'!$C31,'Prior YTD Data Pull'!$A$2:$A$605,0),MATCH("Net Patient Accounts Receivable",'Prior YTD Data Pull'!$A$1:$CB$1,0)),"")</f>
        <v>64203046</v>
      </c>
      <c r="AK31" s="14" t="str">
        <f>IF('Prior YTD Data Pull'!$H31 = 6, "183", IF('Prior YTD Data Pull'!$H31 = 3, "93",""))</f>
        <v>183</v>
      </c>
      <c r="AL31" s="38">
        <f>IFERROR(INDEX('Prior YTD Data Pull'!$A$2:$CB$605,MATCH('Prior YTD Data Table'!$C31,'Prior YTD Data Pull'!$A$2:$A$605,0),MATCH("Estimated Third Party Settlements",'Prior YTD Data Pull'!$A$1:$CB$1,0)),"")</f>
        <v>0</v>
      </c>
      <c r="AM31" s="38">
        <f>IFERROR(INDEX('Prior YTD Data Pull'!$A$2:$CB$605,MATCH('Prior YTD Data Table'!$C31,'Prior YTD Data Pull'!$A$2:$A$605,0),MATCH("Current Liabilities due to Affiliates",'Prior YTD Data Pull'!$A$1:$CB$1,0)),"")</f>
        <v>25000000</v>
      </c>
      <c r="AN31" s="38">
        <f>IFERROR(INDEX('Prior YTD Data Pull'!$A$2:$CB$605,MATCH('Prior YTD Data Table'!$C31,'Prior YTD Data Pull'!$A$2:$A$605,0),MATCH("Short Term Investments",'Prior YTD Data Pull'!$A$1:$CB$1,0)),"")</f>
        <v>0</v>
      </c>
      <c r="AO31" s="38">
        <f>IFERROR(INDEX('Prior YTD Data Pull'!$A$2:$CB$605,MATCH('Prior YTD Data Table'!$C31,'Prior YTD Data Pull'!$A$2:$A$605,0),MATCH("Cash and Cash Equivalents",'Prior YTD Data Pull'!$A$1:$CB$1,0)),"")</f>
        <v>21559762</v>
      </c>
      <c r="AP31" s="38">
        <f>IFERROR(INDEX('Prior YTD Data Pull'!$A$2:$CB$605,MATCH('Prior YTD Data Table'!$C31,'Prior YTD Data Pull'!$A$2:$A$605,0),MATCH("Interest Expense",'Prior YTD Data Pull'!$A$1:$CB$1,0)),"")</f>
        <v>0</v>
      </c>
      <c r="AQ31" s="38">
        <f>IFERROR(INDEX('Prior YTD Data Pull'!$A$2:$CB$605,MATCH('Prior YTD Data Table'!$C31,'Prior YTD Data Pull'!$A$2:$A$605,0),MATCH("Long Term Debt Net of Current Portion",'Prior YTD Data Pull'!$A$1:$CB$1,0)),"")</f>
        <v>6707629</v>
      </c>
      <c r="AR31" s="38">
        <f>IFERROR(INDEX('Prior YTD Data Pull'!$A$2:$CB$605,MATCH('Prior YTD Data Table'!$C31,'Prior YTD Data Pull'!$A$2:$A$605,0),MATCH("Total Assets",'Prior YTD Data Pull'!$A$1:$CB$1,0)),"")</f>
        <v>75758029</v>
      </c>
      <c r="AS31" s="38">
        <f>IFERROR(INDEX('Prior YTD Data Pull'!$A$2:$CB$605,MATCH('Prior YTD Data Table'!$C31,'Prior YTD Data Pull'!$A$2:$A$605,0),MATCH("Long Term Debt Net of Current Portion",'Prior YTD Data Pull'!$A$1:$CB$1,0)),"")</f>
        <v>6707629</v>
      </c>
      <c r="AT31" s="38">
        <f>IFERROR(INDEX('Prior YTD Data Pull'!$A$2:$CB$605,MATCH('Prior YTD Data Table'!$C31,'Prior YTD Data Pull'!$A$2:$A$605,0),MATCH("Net Unrestricted Assets",'Prior YTD Data Pull'!$A$1:$CB$1,0)),"")</f>
        <v>-55293608</v>
      </c>
      <c r="AU31" s="38">
        <f>IFERROR(INDEX('Prior YTD Data Pull'!$A$2:$CB$605,MATCH('Prior YTD Data Table'!$C31,'Prior YTD Data Pull'!$A$2:$A$605,0),MATCH("Unrealized Gains/Losses",'Prior YTD Data Pull'!$A$1:$CB$1,0)),"")</f>
        <v>0</v>
      </c>
      <c r="AV31" s="38">
        <f>IFERROR(INDEX('Prior YTD Data Pull'!$A$2:$CB$605,MATCH('Prior YTD Data Table'!$C31,'Prior YTD Data Pull'!$A$2:$A$605,0),MATCH("Salary and Benefit Expense",'Prior YTD Data Pull'!$A$1:$CB$1,0)),"")</f>
        <v>153869561</v>
      </c>
      <c r="AW31" s="47"/>
      <c r="AX31" s="47"/>
      <c r="AY31" s="47"/>
      <c r="AZ31" s="47"/>
    </row>
    <row r="32" spans="1:52" ht="34.200000000000003" x14ac:dyDescent="0.3">
      <c r="A32" s="14" t="str">
        <f>IFERROR(INDEX('Static Data Tab'!$N$2:$N$610,MATCH(D32,'Static Data Tab'!$D$2:$D$610,0)), "")</f>
        <v>Tufts Medicine</v>
      </c>
      <c r="B32" s="14" t="s">
        <v>192</v>
      </c>
      <c r="C32" s="14">
        <v>3111</v>
      </c>
      <c r="D32" s="14">
        <v>12775</v>
      </c>
      <c r="E32" s="14" t="str">
        <f>IFERROR(INDEX('Prior YTD Data Pull'!$A$1:$CB$605,MATCH('Prior YTD Data Table'!$C32,'Prior YTD Data Pull'!$A$1:$A$605,0),MATCH("Organization Type",'Prior YTD Data Pull'!$A$1:$CB$1,0)),"")</f>
        <v>AcuteHospital</v>
      </c>
      <c r="F32" s="14" t="str">
        <f>IFERROR(INDEX('Static Data Tab'!$E$2:$E$610,MATCH('Prior YTD Data Table'!$C32,'Static Data Tab'!$B$2:$B$610,0)), "-")</f>
        <v>Community-High Public Payer Hospital</v>
      </c>
      <c r="G32" s="46" t="str">
        <f>IFERROR(INDEX('Static Data Tab'!$J$2:$J$610,MATCH('Prior YTD Data Table'!$C32,'Static Data Tab'!$B$2:$B$610,0)), "")</f>
        <v>Metro Boston</v>
      </c>
      <c r="H32" s="14" t="str">
        <f>IFERROR(INDEX('Static Data Tab'!$F$2:$F$610,MATCH('Prior YTD Data Table'!$C32,'Static Data Tab'!$B$2:$B$610,0)), "")</f>
        <v>x</v>
      </c>
      <c r="I32" s="14">
        <f>IFERROR(INDEX('Static Data Tab'!$G$2:$G$610,MATCH('Prior YTD Data Table'!$C32,'Static Data Tab'!$B$2:$B$610,0)), "")</f>
        <v>0</v>
      </c>
      <c r="J32" s="14" t="str">
        <f>IFERROR(INDEX('Prior YTD Data Pull'!$A$2:$CB$605,MATCH('Prior YTD Data Table'!$C32,'Prior YTD Data Pull'!$A$2:$A$605,0),MATCH("Quarter Range",'Prior YTD Data Pull'!$A$1:$CB$1,0)),"")</f>
        <v xml:space="preserve">10/01/2024-03/31/2025
</v>
      </c>
      <c r="K32" s="37">
        <f t="shared" si="2"/>
        <v>-2.6915515188436299E-2</v>
      </c>
      <c r="L32" s="37">
        <f t="shared" si="3"/>
        <v>-6.4381247750117685E-4</v>
      </c>
      <c r="M32" s="37">
        <f t="shared" si="4"/>
        <v>-2.7559327665937473E-2</v>
      </c>
      <c r="N32" s="38">
        <f t="shared" si="5"/>
        <v>-3981000</v>
      </c>
      <c r="O32" s="39">
        <f t="shared" si="6"/>
        <v>0.82292945624293412</v>
      </c>
      <c r="P32" s="38">
        <f>IFERROR(INDEX('Prior YTD Data Pull'!$A$2:$CB$605,MATCH('Prior YTD Data Table'!$C32,'Prior YTD Data Pull'!$A$2:$A$605,0),MATCH("Total Net Assets or Equity",'Prior YTD Data Pull'!$A$1:$CB$1,0)),"")</f>
        <v>122936000</v>
      </c>
      <c r="Q32" s="38">
        <f>IFERROR(INDEX('Prior YTD Data Pull'!$A$2:$CB$605,MATCH('Prior YTD Data Table'!$C32,'Prior YTD Data Pull'!$A$2:$A$605,0),MATCH("Total Operating Revenue",'Prior YTD Data Pull'!$A$1:$CB$1,0)),"")</f>
        <v>144545000</v>
      </c>
      <c r="R32" s="38">
        <f>IFERROR(INDEX('Prior YTD Data Pull'!$A$2:$CB$605,MATCH('Prior YTD Data Table'!$C32,'Prior YTD Data Pull'!$A$2:$A$605,0),MATCH("Total Unrestricted Revenue Gains and Other Support",'Prior YTD Data Pull'!$A$1:$CB$1,0)),"")</f>
        <v>144452000</v>
      </c>
      <c r="S32" s="38">
        <f>IFERROR(INDEX('Prior YTD TS Data Pull'!$J$2:$J$128,MATCH('Prior YTD Data Table'!$C32, 'Prior YTD TS Data Pull'!$A$2:$A$128,0))+INDEX('Prior YTD TS Data Pull'!$N$2:$N$128,MATCH('Prior YTD Data Table'!$C32,'Prior YTD TS Data Pull'!$A$2:$A$609,0))+INDEX('Prior YTD TS Data Pull'!$R$2:$R$128,MATCH('Prior YTD Data Table'!$C32,'Prior YTD TS Data Pull'!$A$2:$A$609,0)),"")</f>
        <v>559386.09000000008</v>
      </c>
      <c r="T32" s="38">
        <f>IF(INDEX('Prior YTD TS Data Pull'!$A$1:$O$609,MATCH('Prior YTD Data Table'!$C32,'Prior YTD TS Data Pull'!$A$1:$A$609,0),MATCH("Temporary RN Staffing:
Line Reported on in Standardized Financials",'Prior YTD TS Data Pull'!$A$1:$O$1,0))="66.1: Salary and Benefit Expense",'Prior YTD Data Table'!$AV32-'Prior YTD Data Table'!$S32,0)</f>
        <v>0</v>
      </c>
      <c r="U32" s="38">
        <f>IFERROR(INDEX('Prior YTD Data Pull'!$A$2:$CB$605,MATCH('Prior YTD Data Table'!$C32,'Prior YTD Data Pull'!$A$2:$A$605,0),MATCH("Total Expenses Including Nonrecurring Gains Losses",'Prior YTD Data Pull'!$A$1:$CB$1,0)),"")</f>
        <v>148433000</v>
      </c>
      <c r="V32" s="41">
        <f t="shared" si="7"/>
        <v>0</v>
      </c>
      <c r="W32" s="41">
        <f t="shared" si="8"/>
        <v>45.692203211602077</v>
      </c>
      <c r="X32" s="41">
        <f t="shared" si="0"/>
        <v>112.68514568491105</v>
      </c>
      <c r="Y32" s="37">
        <f t="shared" si="9"/>
        <v>0.11775114864025829</v>
      </c>
      <c r="Z32" s="41">
        <f t="shared" si="1"/>
        <v>5.0497205750607908</v>
      </c>
      <c r="AA32" s="39">
        <f t="shared" si="10"/>
        <v>0.7537462537462537</v>
      </c>
      <c r="AB32" s="37">
        <f t="shared" si="11"/>
        <v>0.56425791290298888</v>
      </c>
      <c r="AC32" s="37">
        <f t="shared" si="12"/>
        <v>5.8994881076953533E-2</v>
      </c>
      <c r="AD32" s="38">
        <f>IFERROR(INDEX('Prior YTD Data Pull'!$A$2:$CB$605,MATCH('Prior YTD Data Table'!$C32,'Prior YTD Data Pull'!$A$2:$A$605,0),MATCH("Net Patient Service Revenue",'Prior YTD Data Pull'!$A$1:$CB$1,0)),"")</f>
        <v>136941000</v>
      </c>
      <c r="AE32" s="38">
        <f>IFERROR(INDEX('Prior YTD Data Pull'!$A$2:$CB$605,MATCH('Prior YTD Data Table'!$C32,'Prior YTD Data Pull'!$A$2:$A$605,0),MATCH("Total Current Assets",'Prior YTD Data Pull'!$A$1:$CB$1,0)),"")</f>
        <v>67695000</v>
      </c>
      <c r="AF32" s="38">
        <f>IFERROR(INDEX('Prior YTD Data Pull'!$A$2:$CB$605,MATCH('Prior YTD Data Table'!$C32,'Prior YTD Data Pull'!$A$2:$A$605,0),MATCH("Total Current Liabilities",'Prior YTD Data Pull'!$A$1:$CB$1,0)),"")</f>
        <v>82261000</v>
      </c>
      <c r="AG32" s="38">
        <f>IFERROR(INDEX('Prior YTD Data Pull'!$A$2:$CB$605,MATCH('Prior YTD Data Table'!$C32,'Prior YTD Data Pull'!$A$2:$A$605,0),MATCH("Total Non Operating Revenue",'Prior YTD Data Pull'!$A$1:$CB$1,0)),"")</f>
        <v>-93000</v>
      </c>
      <c r="AH32" s="38">
        <f>IFERROR(INDEX('Prior YTD Data Pull'!$A$2:$CB$605,MATCH('Prior YTD Data Table'!$C32,'Prior Year Data Pull'!$A$2:$A$593,0),MATCH("Less Accumulated Depreciation",'Prior YTD Data Pull'!$A$1:$CB$1,0)),"")</f>
        <v>0</v>
      </c>
      <c r="AI32" s="38">
        <f>IFERROR(INDEX('Prior YTD Data Pull'!$A$2:$CB$605,MATCH('Prior YTD Data Table'!$C32,'Prior YTD Data Pull'!$A$2:$A$605,0),MATCH("Depreciation and Amortization Expense",'Prior YTD Data Pull'!$A$1:$CB$1,0)),"")</f>
        <v>7787000</v>
      </c>
      <c r="AJ32" s="38">
        <f>IFERROR(INDEX('Prior YTD Data Pull'!$A$2:$CB$605,MATCH('Prior YTD Data Table'!$C32,'Prior YTD Data Pull'!$A$2:$A$605,0),MATCH("Net Patient Accounts Receivable",'Prior YTD Data Pull'!$A$1:$CB$1,0)),"")</f>
        <v>34192000</v>
      </c>
      <c r="AK32" s="14" t="str">
        <f>IF('Prior YTD Data Pull'!$H32 = 6, "183", IF('Prior YTD Data Pull'!$H32 = 3, "93",""))</f>
        <v>183</v>
      </c>
      <c r="AL32" s="38">
        <f>IFERROR(INDEX('Prior YTD Data Pull'!$A$2:$CB$605,MATCH('Prior YTD Data Table'!$C32,'Prior YTD Data Pull'!$A$2:$A$605,0),MATCH("Estimated Third Party Settlements",'Prior YTD Data Pull'!$A$1:$CB$1,0)),"")</f>
        <v>-4344000</v>
      </c>
      <c r="AM32" s="38">
        <f>IFERROR(INDEX('Prior YTD Data Pull'!$A$2:$CB$605,MATCH('Prior YTD Data Table'!$C32,'Prior YTD Data Pull'!$A$2:$A$605,0),MATCH("Current Liabilities due to Affiliates",'Prior YTD Data Pull'!$A$1:$CB$1,0)),"")</f>
        <v>25954000</v>
      </c>
      <c r="AN32" s="38">
        <f>IFERROR(INDEX('Prior YTD Data Pull'!$A$2:$CB$605,MATCH('Prior YTD Data Table'!$C32,'Prior YTD Data Pull'!$A$2:$A$605,0),MATCH("Short Term Investments",'Prior YTD Data Pull'!$A$1:$CB$1,0)),"")</f>
        <v>0</v>
      </c>
      <c r="AO32" s="38">
        <f>IFERROR(INDEX('Prior YTD Data Pull'!$A$2:$CB$605,MATCH('Prior YTD Data Table'!$C32,'Prior YTD Data Pull'!$A$2:$A$605,0),MATCH("Cash and Cash Equivalents",'Prior YTD Data Pull'!$A$1:$CB$1,0)),"")</f>
        <v>3881000</v>
      </c>
      <c r="AP32" s="38">
        <f>IFERROR(INDEX('Prior YTD Data Pull'!$A$2:$CB$605,MATCH('Prior YTD Data Table'!$C32,'Prior YTD Data Pull'!$A$2:$A$605,0),MATCH("Interest Expense",'Prior YTD Data Pull'!$A$1:$CB$1,0)),"")</f>
        <v>3752000</v>
      </c>
      <c r="AQ32" s="38">
        <f>IFERROR(INDEX('Prior YTD Data Pull'!$A$2:$CB$605,MATCH('Prior YTD Data Table'!$C32,'Prior YTD Data Pull'!$A$2:$A$605,0),MATCH("Long Term Debt Net of Current Portion",'Prior YTD Data Pull'!$A$1:$CB$1,0)),"")</f>
        <v>6258000</v>
      </c>
      <c r="AR32" s="38">
        <f>IFERROR(INDEX('Prior YTD Data Pull'!$A$2:$CB$605,MATCH('Prior YTD Data Table'!$C32,'Prior YTD Data Pull'!$A$2:$A$605,0),MATCH("Total Assets",'Prior YTD Data Pull'!$A$1:$CB$1,0)),"")</f>
        <v>217872000</v>
      </c>
      <c r="AS32" s="38">
        <f>IFERROR(INDEX('Prior YTD Data Pull'!$A$2:$CB$605,MATCH('Prior YTD Data Table'!$C32,'Prior YTD Data Pull'!$A$2:$A$605,0),MATCH("Long Term Debt Net of Current Portion",'Prior YTD Data Pull'!$A$1:$CB$1,0)),"")</f>
        <v>6258000</v>
      </c>
      <c r="AT32" s="38">
        <f>IFERROR(INDEX('Prior YTD Data Pull'!$A$2:$CB$605,MATCH('Prior YTD Data Table'!$C32,'Prior YTD Data Pull'!$A$2:$A$605,0),MATCH("Net Unrestricted Assets",'Prior YTD Data Pull'!$A$1:$CB$1,0)),"")</f>
        <v>99819000</v>
      </c>
      <c r="AU32" s="38">
        <f>IFERROR(INDEX('Prior YTD Data Pull'!$A$2:$CB$605,MATCH('Prior YTD Data Table'!$C32,'Prior YTD Data Pull'!$A$2:$A$605,0),MATCH("Unrealized Gains/Losses",'Prior YTD Data Pull'!$A$1:$CB$1,0)),"")</f>
        <v>13000</v>
      </c>
      <c r="AV32" s="38">
        <f>IFERROR(INDEX('Prior YTD Data Pull'!$A$2:$CB$605,MATCH('Prior YTD Data Table'!$C32,'Prior YTD Data Pull'!$A$2:$A$605,0),MATCH("Salary and Benefit Expense",'Prior YTD Data Pull'!$A$1:$CB$1,0)),"")</f>
        <v>81160000</v>
      </c>
      <c r="AW32" s="38"/>
      <c r="AX32" s="38"/>
      <c r="AY32" s="38"/>
      <c r="AZ32" s="38"/>
    </row>
    <row r="33" spans="1:52" ht="34.200000000000003" x14ac:dyDescent="0.3">
      <c r="A33" s="14" t="str">
        <f>IFERROR(INDEX('Static Data Tab'!$N$2:$N$610,MATCH(D33,'Static Data Tab'!$D$2:$D$610,0)), "")</f>
        <v>Beth Israel Lahey Health</v>
      </c>
      <c r="B33" s="57" t="s">
        <v>93</v>
      </c>
      <c r="C33" s="57">
        <v>53</v>
      </c>
      <c r="D33" s="57">
        <v>16665</v>
      </c>
      <c r="E33" s="14" t="str">
        <f>IFERROR(INDEX('Prior YTD Data Pull'!$A$1:$CB$605,MATCH('Prior YTD Data Table'!$C33,'Prior YTD Data Pull'!$A$1:$A$605,0),MATCH("Organization Type",'Prior YTD Data Pull'!$A$1:$CB$1,0)),"")</f>
        <v>AcuteHospital</v>
      </c>
      <c r="F33" s="14" t="str">
        <f>IFERROR(INDEX('Static Data Tab'!$E$2:$E$610,MATCH('Prior YTD Data Table'!$C33,'Static Data Tab'!$B$2:$B$610,0)), "-")</f>
        <v>Community Hospital</v>
      </c>
      <c r="G33" s="46" t="str">
        <f>IFERROR(INDEX('Static Data Tab'!$J$2:$J$610,MATCH('Prior YTD Data Table'!$C33,'Static Data Tab'!$B$2:$B$610,0)), "")</f>
        <v>Metro Boston</v>
      </c>
      <c r="H33" s="14">
        <f>IFERROR(INDEX('Static Data Tab'!$F$2:$F$610,MATCH('Prior YTD Data Table'!$C33,'Static Data Tab'!$B$2:$B$610,0)), "")</f>
        <v>0</v>
      </c>
      <c r="I33" s="14">
        <f>IFERROR(INDEX('Static Data Tab'!$G$2:$G$610,MATCH('Prior YTD Data Table'!$C33,'Static Data Tab'!$B$2:$B$610,0)), "")</f>
        <v>0</v>
      </c>
      <c r="J33" s="14" t="str">
        <f>IFERROR(INDEX('Prior YTD Data Pull'!$A$2:$CB$605,MATCH('Prior YTD Data Table'!$C33,'Prior YTD Data Pull'!$A$2:$A$605,0),MATCH("Quarter Range",'Prior YTD Data Pull'!$A$1:$CB$1,0)),"")</f>
        <v xml:space="preserve">10/01/2024-03/31/2025
</v>
      </c>
      <c r="K33" s="37">
        <f t="shared" si="2"/>
        <v>2.9927066544531152E-2</v>
      </c>
      <c r="L33" s="37">
        <f t="shared" si="3"/>
        <v>4.1742518233363864E-3</v>
      </c>
      <c r="M33" s="37">
        <f t="shared" si="4"/>
        <v>3.4101318367867541E-2</v>
      </c>
      <c r="N33" s="38">
        <f t="shared" si="5"/>
        <v>2941000</v>
      </c>
      <c r="O33" s="39">
        <f t="shared" si="6"/>
        <v>2.9787273978602267</v>
      </c>
      <c r="P33" s="38">
        <f>IFERROR(INDEX('Prior YTD Data Pull'!$A$2:$CB$605,MATCH('Prior YTD Data Table'!$C33,'Prior YTD Data Pull'!$A$2:$A$605,0),MATCH("Total Net Assets or Equity",'Prior YTD Data Pull'!$A$1:$CB$1,0)),"")</f>
        <v>112198000</v>
      </c>
      <c r="Q33" s="38">
        <f>IFERROR(INDEX('Prior YTD Data Pull'!$A$2:$CB$605,MATCH('Prior YTD Data Table'!$C33,'Prior YTD Data Pull'!$A$2:$A$605,0),MATCH("Total Operating Revenue",'Prior YTD Data Pull'!$A$1:$CB$1,0)),"")</f>
        <v>85883000</v>
      </c>
      <c r="R33" s="38">
        <f>IFERROR(INDEX('Prior YTD Data Pull'!$A$2:$CB$605,MATCH('Prior YTD Data Table'!$C33,'Prior YTD Data Pull'!$A$2:$A$605,0),MATCH("Total Unrestricted Revenue Gains and Other Support",'Prior YTD Data Pull'!$A$1:$CB$1,0)),"")</f>
        <v>86243000</v>
      </c>
      <c r="S33" s="38">
        <f>IFERROR(INDEX('Prior YTD TS Data Pull'!$J$2:$J$128,MATCH('Prior YTD Data Table'!$C33, 'Prior YTD TS Data Pull'!$A$2:$A$128,0))+INDEX('Prior YTD TS Data Pull'!$N$2:$N$128,MATCH('Prior YTD Data Table'!$C33,'Prior YTD TS Data Pull'!$A$2:$A$609,0))+INDEX('Prior YTD TS Data Pull'!$R$2:$R$128,MATCH('Prior YTD Data Table'!$C33,'Prior YTD TS Data Pull'!$A$2:$A$609,0)),"")</f>
        <v>3068343</v>
      </c>
      <c r="T33" s="38">
        <f>IF(INDEX('Prior YTD TS Data Pull'!$A$1:$O$609,MATCH('Prior YTD Data Table'!$C33,'Prior YTD TS Data Pull'!$A$1:$A$609,0),MATCH("Temporary RN Staffing:
Line Reported on in Standardized Financials",'Prior YTD TS Data Pull'!$A$1:$O$1,0))="66.1: Salary and Benefit Expense",'Prior YTD Data Table'!$AV33-'Prior YTD Data Table'!$S33,0)</f>
        <v>35349657</v>
      </c>
      <c r="U33" s="38">
        <f>IFERROR(INDEX('Prior YTD Data Pull'!$A$2:$CB$605,MATCH('Prior YTD Data Table'!$C33,'Prior YTD Data Pull'!$A$2:$A$605,0),MATCH("Total Expenses Including Nonrecurring Gains Losses",'Prior YTD Data Pull'!$A$1:$CB$1,0)),"")</f>
        <v>83302000</v>
      </c>
      <c r="V33" s="41">
        <f t="shared" si="7"/>
        <v>0</v>
      </c>
      <c r="W33" s="41">
        <f t="shared" si="8"/>
        <v>42.931101840017362</v>
      </c>
      <c r="X33" s="41">
        <f t="shared" si="0"/>
        <v>34.344255792827255</v>
      </c>
      <c r="Y33" s="37">
        <f t="shared" si="9"/>
        <v>0.17384439961406895</v>
      </c>
      <c r="Z33" s="41">
        <f t="shared" si="1"/>
        <v>21.403111685453638</v>
      </c>
      <c r="AA33" s="39">
        <f t="shared" si="10"/>
        <v>0.19021622318703521</v>
      </c>
      <c r="AB33" s="37">
        <f t="shared" si="11"/>
        <v>0.57306739535715201</v>
      </c>
      <c r="AC33" s="37">
        <f t="shared" si="12"/>
        <v>0.38120235388524809</v>
      </c>
      <c r="AD33" s="38">
        <f>IFERROR(INDEX('Prior YTD Data Pull'!$A$2:$CB$605,MATCH('Prior YTD Data Table'!$C33,'Prior YTD Data Pull'!$A$2:$A$605,0),MATCH("Net Patient Service Revenue",'Prior YTD Data Pull'!$A$1:$CB$1,0)),"")</f>
        <v>82934000</v>
      </c>
      <c r="AE33" s="38">
        <f>IFERROR(INDEX('Prior YTD Data Pull'!$A$2:$CB$605,MATCH('Prior YTD Data Table'!$C33,'Prior YTD Data Pull'!$A$2:$A$605,0),MATCH("Total Current Assets",'Prior YTD Data Pull'!$A$1:$CB$1,0)),"")</f>
        <v>47609000</v>
      </c>
      <c r="AF33" s="38">
        <f>IFERROR(INDEX('Prior YTD Data Pull'!$A$2:$CB$605,MATCH('Prior YTD Data Table'!$C33,'Prior YTD Data Pull'!$A$2:$A$605,0),MATCH("Total Current Liabilities",'Prior YTD Data Pull'!$A$1:$CB$1,0)),"")</f>
        <v>15983000</v>
      </c>
      <c r="AG33" s="38">
        <f>IFERROR(INDEX('Prior YTD Data Pull'!$A$2:$CB$605,MATCH('Prior YTD Data Table'!$C33,'Prior YTD Data Pull'!$A$2:$A$605,0),MATCH("Total Non Operating Revenue",'Prior YTD Data Pull'!$A$1:$CB$1,0)),"")</f>
        <v>360000</v>
      </c>
      <c r="AH33" s="38">
        <f>IFERROR(INDEX('Prior YTD Data Pull'!$A$2:$CB$605,MATCH('Prior YTD Data Table'!$C33,'Prior Year Data Pull'!$A$2:$A$593,0),MATCH("Less Accumulated Depreciation",'Prior YTD Data Pull'!$A$1:$CB$1,0)),"")</f>
        <v>0</v>
      </c>
      <c r="AI33" s="38">
        <f>IFERROR(INDEX('Prior YTD Data Pull'!$A$2:$CB$605,MATCH('Prior YTD Data Table'!$C33,'Prior YTD Data Pull'!$A$2:$A$605,0),MATCH("Depreciation and Amortization Expense",'Prior YTD Data Pull'!$A$1:$CB$1,0)),"")</f>
        <v>5145000</v>
      </c>
      <c r="AJ33" s="38">
        <f>IFERROR(INDEX('Prior YTD Data Pull'!$A$2:$CB$605,MATCH('Prior YTD Data Table'!$C33,'Prior YTD Data Pull'!$A$2:$A$605,0),MATCH("Net Patient Accounts Receivable",'Prior YTD Data Pull'!$A$1:$CB$1,0)),"")</f>
        <v>19456000</v>
      </c>
      <c r="AK33" s="14" t="str">
        <f>IF('Prior YTD Data Pull'!$H33 = 6, "183", IF('Prior YTD Data Pull'!$H33 = 3, "93",""))</f>
        <v>183</v>
      </c>
      <c r="AL33" s="38">
        <f>IFERROR(INDEX('Prior YTD Data Pull'!$A$2:$CB$605,MATCH('Prior YTD Data Table'!$C33,'Prior YTD Data Pull'!$A$2:$A$605,0),MATCH("Estimated Third Party Settlements",'Prior YTD Data Pull'!$A$1:$CB$1,0)),"")</f>
        <v>1315000</v>
      </c>
      <c r="AM33" s="38">
        <f>IFERROR(INDEX('Prior YTD Data Pull'!$A$2:$CB$605,MATCH('Prior YTD Data Table'!$C33,'Prior YTD Data Pull'!$A$2:$A$605,0),MATCH("Current Liabilities due to Affiliates",'Prior YTD Data Pull'!$A$1:$CB$1,0)),"")</f>
        <v>0</v>
      </c>
      <c r="AN33" s="38">
        <f>IFERROR(INDEX('Prior YTD Data Pull'!$A$2:$CB$605,MATCH('Prior YTD Data Table'!$C33,'Prior YTD Data Pull'!$A$2:$A$605,0),MATCH("Short Term Investments",'Prior YTD Data Pull'!$A$1:$CB$1,0)),"")</f>
        <v>9198000</v>
      </c>
      <c r="AO33" s="38">
        <f>IFERROR(INDEX('Prior YTD Data Pull'!$A$2:$CB$605,MATCH('Prior YTD Data Table'!$C33,'Prior YTD Data Pull'!$A$2:$A$605,0),MATCH("Cash and Cash Equivalents",'Prior YTD Data Pull'!$A$1:$CB$1,0)),"")</f>
        <v>-57000</v>
      </c>
      <c r="AP33" s="38">
        <f>IFERROR(INDEX('Prior YTD Data Pull'!$A$2:$CB$605,MATCH('Prior YTD Data Table'!$C33,'Prior YTD Data Pull'!$A$2:$A$605,0),MATCH("Interest Expense",'Prior YTD Data Pull'!$A$1:$CB$1,0)),"")</f>
        <v>922000</v>
      </c>
      <c r="AQ33" s="38">
        <f>IFERROR(INDEX('Prior YTD Data Pull'!$A$2:$CB$605,MATCH('Prior YTD Data Table'!$C33,'Prior YTD Data Pull'!$A$2:$A$605,0),MATCH("Long Term Debt Net of Current Portion",'Prior YTD Data Pull'!$A$1:$CB$1,0)),"")</f>
        <v>45604000</v>
      </c>
      <c r="AR33" s="38">
        <f>IFERROR(INDEX('Prior YTD Data Pull'!$A$2:$CB$605,MATCH('Prior YTD Data Table'!$C33,'Prior YTD Data Pull'!$A$2:$A$605,0),MATCH("Total Assets",'Prior YTD Data Pull'!$A$1:$CB$1,0)),"")</f>
        <v>195785000</v>
      </c>
      <c r="AS33" s="38">
        <f>IFERROR(INDEX('Prior YTD Data Pull'!$A$2:$CB$605,MATCH('Prior YTD Data Table'!$C33,'Prior YTD Data Pull'!$A$2:$A$605,0),MATCH("Long Term Debt Net of Current Portion",'Prior YTD Data Pull'!$A$1:$CB$1,0)),"")</f>
        <v>45604000</v>
      </c>
      <c r="AT33" s="38">
        <f>IFERROR(INDEX('Prior YTD Data Pull'!$A$2:$CB$605,MATCH('Prior YTD Data Table'!$C33,'Prior YTD Data Pull'!$A$2:$A$605,0),MATCH("Net Unrestricted Assets",'Prior YTD Data Pull'!$A$1:$CB$1,0)),"")</f>
        <v>74028000</v>
      </c>
      <c r="AU33" s="38">
        <f>IFERROR(INDEX('Prior YTD Data Pull'!$A$2:$CB$605,MATCH('Prior YTD Data Table'!$C33,'Prior YTD Data Pull'!$A$2:$A$605,0),MATCH("Unrealized Gains/Losses",'Prior YTD Data Pull'!$A$1:$CB$1,0)),"")</f>
        <v>158000</v>
      </c>
      <c r="AV33" s="38">
        <f>IFERROR(INDEX('Prior YTD Data Pull'!$A$2:$CB$605,MATCH('Prior YTD Data Table'!$C33,'Prior YTD Data Pull'!$A$2:$A$605,0),MATCH("Salary and Benefit Expense",'Prior YTD Data Pull'!$A$1:$CB$1,0)),"")</f>
        <v>38418000</v>
      </c>
      <c r="AW33" s="47"/>
      <c r="AX33" s="47"/>
      <c r="AY33" s="47"/>
      <c r="AZ33" s="47"/>
    </row>
    <row r="34" spans="1:52" ht="34.200000000000003" x14ac:dyDescent="0.3">
      <c r="A34" s="14" t="str">
        <f>IFERROR(INDEX('Static Data Tab'!$N$2:$N$610,MATCH(D34,'Static Data Tab'!$D$2:$D$610,0)), "")</f>
        <v>Mass General Brigham</v>
      </c>
      <c r="B34" s="14" t="s">
        <v>142</v>
      </c>
      <c r="C34" s="14">
        <v>59</v>
      </c>
      <c r="D34" s="14">
        <v>3791</v>
      </c>
      <c r="E34" s="14" t="str">
        <f>IFERROR(INDEX('Prior YTD Data Pull'!$A$1:$CB$605,MATCH('Prior YTD Data Table'!$C34,'Prior YTD Data Pull'!$A$1:$A$605,0),MATCH("Organization Type",'Prior YTD Data Pull'!$A$1:$CB$1,0)),"")</f>
        <v>AcuteHospital</v>
      </c>
      <c r="F34" s="14" t="str">
        <f>IFERROR(INDEX('Static Data Tab'!$E$2:$E$610,MATCH('Prior YTD Data Table'!$C34,'Static Data Tab'!$B$2:$B$610,0)), "-")</f>
        <v>Community-High Public Payer Hospital</v>
      </c>
      <c r="G34" s="46" t="str">
        <f>IFERROR(INDEX('Static Data Tab'!$J$2:$J$610,MATCH('Prior YTD Data Table'!$C34,'Static Data Tab'!$B$2:$B$610,0)), "")</f>
        <v>Metro Boston</v>
      </c>
      <c r="H34" s="14" t="str">
        <f>IFERROR(INDEX('Static Data Tab'!$F$2:$F$610,MATCH('Prior YTD Data Table'!$C34,'Static Data Tab'!$B$2:$B$610,0)), "")</f>
        <v>x</v>
      </c>
      <c r="I34" s="14" t="str">
        <f>IFERROR(INDEX('Static Data Tab'!$G$2:$G$610,MATCH('Prior YTD Data Table'!$C34,'Static Data Tab'!$B$2:$B$610,0)), "")</f>
        <v>x</v>
      </c>
      <c r="J34" s="14" t="str">
        <f>IFERROR(INDEX('Prior YTD Data Pull'!$A$2:$CB$605,MATCH('Prior YTD Data Table'!$C34,'Prior YTD Data Pull'!$A$2:$A$605,0),MATCH("Quarter Range",'Prior YTD Data Pull'!$A$1:$CB$1,0)),"")</f>
        <v xml:space="preserve">10/01/2024-03/31/2025
</v>
      </c>
      <c r="K34" s="37">
        <f t="shared" si="2"/>
        <v>-7.7652441076631632E-3</v>
      </c>
      <c r="L34" s="37">
        <f t="shared" si="3"/>
        <v>3.889759690742468E-3</v>
      </c>
      <c r="M34" s="37">
        <f t="shared" si="4"/>
        <v>-3.8754844169206952E-3</v>
      </c>
      <c r="N34" s="38">
        <f t="shared" si="5"/>
        <v>-806031</v>
      </c>
      <c r="O34" s="39" t="str">
        <f t="shared" si="6"/>
        <v/>
      </c>
      <c r="P34" s="38">
        <f>IFERROR(INDEX('Prior YTD Data Pull'!$A$2:$CB$605,MATCH('Prior YTD Data Table'!$C34,'Prior YTD Data Pull'!$A$2:$A$605,0),MATCH("Total Net Assets or Equity",'Prior YTD Data Pull'!$A$1:$CB$1,0)),"")</f>
        <v>0</v>
      </c>
      <c r="Q34" s="38">
        <f>IFERROR(INDEX('Prior YTD Data Pull'!$A$2:$CB$605,MATCH('Prior YTD Data Table'!$C34,'Prior YTD Data Pull'!$A$2:$A$605,0),MATCH("Total Operating Revenue",'Prior YTD Data Pull'!$A$1:$CB$1,0)),"")</f>
        <v>207173000</v>
      </c>
      <c r="R34" s="38">
        <f>IFERROR(INDEX('Prior YTD Data Pull'!$A$2:$CB$605,MATCH('Prior YTD Data Table'!$C34,'Prior YTD Data Pull'!$A$2:$A$605,0),MATCH("Total Unrestricted Revenue Gains and Other Support",'Prior YTD Data Pull'!$A$1:$CB$1,0)),"")</f>
        <v>207982000</v>
      </c>
      <c r="S34" s="38">
        <f>IFERROR(INDEX('Prior YTD TS Data Pull'!$J$2:$J$128,MATCH('Prior YTD Data Table'!$C34, 'Prior YTD TS Data Pull'!$A$2:$A$128,0))+INDEX('Prior YTD TS Data Pull'!$N$2:$N$128,MATCH('Prior YTD Data Table'!$C34,'Prior YTD TS Data Pull'!$A$2:$A$609,0))+INDEX('Prior YTD TS Data Pull'!$R$2:$R$128,MATCH('Prior YTD Data Table'!$C34,'Prior YTD TS Data Pull'!$A$2:$A$609,0)),"")</f>
        <v>5020123</v>
      </c>
      <c r="T34" s="38">
        <f>IF(INDEX('Prior YTD TS Data Pull'!$A$1:$O$609,MATCH('Prior YTD Data Table'!$C34,'Prior YTD TS Data Pull'!$A$1:$A$609,0),MATCH("Temporary RN Staffing:
Line Reported on in Standardized Financials",'Prior YTD TS Data Pull'!$A$1:$O$1,0))="66.1: Salary and Benefit Expense",'Prior YTD Data Table'!$AV34-'Prior YTD Data Table'!$S34,0)</f>
        <v>0</v>
      </c>
      <c r="U34" s="38">
        <f>IFERROR(INDEX('Prior YTD Data Pull'!$A$2:$CB$605,MATCH('Prior YTD Data Table'!$C34,'Prior YTD Data Pull'!$A$2:$A$605,0),MATCH("Total Expenses Including Nonrecurring Gains Losses",'Prior YTD Data Pull'!$A$1:$CB$1,0)),"")</f>
        <v>208788031</v>
      </c>
      <c r="V34" s="41">
        <f t="shared" si="7"/>
        <v>10.228637147786085</v>
      </c>
      <c r="W34" s="41">
        <f t="shared" si="8"/>
        <v>0</v>
      </c>
      <c r="X34" s="41">
        <f t="shared" si="0"/>
        <v>0</v>
      </c>
      <c r="Y34" s="37" t="str">
        <f t="shared" si="9"/>
        <v/>
      </c>
      <c r="Z34" s="41">
        <f t="shared" si="1"/>
        <v>0</v>
      </c>
      <c r="AA34" s="39">
        <f t="shared" si="10"/>
        <v>5.0425046106557376</v>
      </c>
      <c r="AB34" s="37" t="str">
        <f t="shared" si="11"/>
        <v/>
      </c>
      <c r="AC34" s="37" t="str">
        <f t="shared" si="12"/>
        <v/>
      </c>
      <c r="AD34" s="38">
        <f>IFERROR(INDEX('Prior YTD Data Pull'!$A$2:$CB$605,MATCH('Prior YTD Data Table'!$C34,'Prior YTD Data Pull'!$A$2:$A$605,0),MATCH("Net Patient Service Revenue",'Prior YTD Data Pull'!$A$1:$CB$1,0)),"")</f>
        <v>202328000</v>
      </c>
      <c r="AE34" s="38">
        <f>IFERROR(INDEX('Prior YTD Data Pull'!$A$2:$CB$605,MATCH('Prior YTD Data Table'!$C34,'Prior YTD Data Pull'!$A$2:$A$605,0),MATCH("Total Current Assets",'Prior YTD Data Pull'!$A$1:$CB$1,0)),"")</f>
        <v>0</v>
      </c>
      <c r="AF34" s="38">
        <f>IFERROR(INDEX('Prior YTD Data Pull'!$A$2:$CB$605,MATCH('Prior YTD Data Table'!$C34,'Prior YTD Data Pull'!$A$2:$A$605,0),MATCH("Total Current Liabilities",'Prior YTD Data Pull'!$A$1:$CB$1,0)),"")</f>
        <v>0</v>
      </c>
      <c r="AG34" s="38">
        <f>IFERROR(INDEX('Prior YTD Data Pull'!$A$2:$CB$605,MATCH('Prior YTD Data Table'!$C34,'Prior YTD Data Pull'!$A$2:$A$605,0),MATCH("Total Non Operating Revenue",'Prior YTD Data Pull'!$A$1:$CB$1,0)),"")</f>
        <v>809000</v>
      </c>
      <c r="AH34" s="38">
        <f>IFERROR(INDEX('Prior YTD Data Pull'!$A$2:$CB$605,MATCH('Prior YTD Data Table'!$C34,'Prior Year Data Pull'!$A$2:$A$593,0),MATCH("Less Accumulated Depreciation",'Prior YTD Data Pull'!$A$1:$CB$1,0)),"")</f>
        <v>88938000</v>
      </c>
      <c r="AI34" s="38">
        <f>IFERROR(INDEX('Prior YTD Data Pull'!$A$2:$CB$605,MATCH('Prior YTD Data Table'!$C34,'Prior YTD Data Pull'!$A$2:$A$605,0),MATCH("Depreciation and Amortization Expense",'Prior YTD Data Pull'!$A$1:$CB$1,0)),"")</f>
        <v>8695000</v>
      </c>
      <c r="AJ34" s="38">
        <f>IFERROR(INDEX('Prior YTD Data Pull'!$A$2:$CB$605,MATCH('Prior YTD Data Table'!$C34,'Prior YTD Data Pull'!$A$2:$A$605,0),MATCH("Net Patient Accounts Receivable",'Prior YTD Data Pull'!$A$1:$CB$1,0)),"")</f>
        <v>0</v>
      </c>
      <c r="AK34" s="14" t="str">
        <f>IF('Prior YTD Data Pull'!$H34 = 6, "183", IF('Prior YTD Data Pull'!$H34 = 3, "93",""))</f>
        <v>183</v>
      </c>
      <c r="AL34" s="38">
        <f>IFERROR(INDEX('Prior YTD Data Pull'!$A$2:$CB$605,MATCH('Prior YTD Data Table'!$C34,'Prior YTD Data Pull'!$A$2:$A$605,0),MATCH("Estimated Third Party Settlements",'Prior YTD Data Pull'!$A$1:$CB$1,0)),"")</f>
        <v>0</v>
      </c>
      <c r="AM34" s="38">
        <f>IFERROR(INDEX('Prior YTD Data Pull'!$A$2:$CB$605,MATCH('Prior YTD Data Table'!$C34,'Prior YTD Data Pull'!$A$2:$A$605,0),MATCH("Current Liabilities due to Affiliates",'Prior YTD Data Pull'!$A$1:$CB$1,0)),"")</f>
        <v>0</v>
      </c>
      <c r="AN34" s="38">
        <f>IFERROR(INDEX('Prior YTD Data Pull'!$A$2:$CB$605,MATCH('Prior YTD Data Table'!$C34,'Prior YTD Data Pull'!$A$2:$A$605,0),MATCH("Short Term Investments",'Prior YTD Data Pull'!$A$1:$CB$1,0)),"")</f>
        <v>0</v>
      </c>
      <c r="AO34" s="38">
        <f>IFERROR(INDEX('Prior YTD Data Pull'!$A$2:$CB$605,MATCH('Prior YTD Data Table'!$C34,'Prior YTD Data Pull'!$A$2:$A$605,0),MATCH("Cash and Cash Equivalents",'Prior YTD Data Pull'!$A$1:$CB$1,0)),"")</f>
        <v>0</v>
      </c>
      <c r="AP34" s="38">
        <f>IFERROR(INDEX('Prior YTD Data Pull'!$A$2:$CB$605,MATCH('Prior YTD Data Table'!$C34,'Prior YTD Data Pull'!$A$2:$A$605,0),MATCH("Interest Expense",'Prior YTD Data Pull'!$A$1:$CB$1,0)),"")</f>
        <v>1952000</v>
      </c>
      <c r="AQ34" s="38">
        <f>IFERROR(INDEX('Prior YTD Data Pull'!$A$2:$CB$605,MATCH('Prior YTD Data Table'!$C34,'Prior YTD Data Pull'!$A$2:$A$605,0),MATCH("Long Term Debt Net of Current Portion",'Prior YTD Data Pull'!$A$1:$CB$1,0)),"")</f>
        <v>0</v>
      </c>
      <c r="AR34" s="38">
        <f>IFERROR(INDEX('Prior YTD Data Pull'!$A$2:$CB$605,MATCH('Prior YTD Data Table'!$C34,'Prior YTD Data Pull'!$A$2:$A$605,0),MATCH("Total Assets",'Prior YTD Data Pull'!$A$1:$CB$1,0)),"")</f>
        <v>0</v>
      </c>
      <c r="AS34" s="38">
        <f>IFERROR(INDEX('Prior YTD Data Pull'!$A$2:$CB$605,MATCH('Prior YTD Data Table'!$C34,'Prior YTD Data Pull'!$A$2:$A$605,0),MATCH("Long Term Debt Net of Current Portion",'Prior YTD Data Pull'!$A$1:$CB$1,0)),"")</f>
        <v>0</v>
      </c>
      <c r="AT34" s="38">
        <f>IFERROR(INDEX('Prior YTD Data Pull'!$A$2:$CB$605,MATCH('Prior YTD Data Table'!$C34,'Prior YTD Data Pull'!$A$2:$A$605,0),MATCH("Net Unrestricted Assets",'Prior YTD Data Pull'!$A$1:$CB$1,0)),"")</f>
        <v>0</v>
      </c>
      <c r="AU34" s="38">
        <f>IFERROR(INDEX('Prior YTD Data Pull'!$A$2:$CB$605,MATCH('Prior YTD Data Table'!$C34,'Prior YTD Data Pull'!$A$2:$A$605,0),MATCH("Unrealized Gains/Losses",'Prior YTD Data Pull'!$A$1:$CB$1,0)),"")</f>
        <v>-2000</v>
      </c>
      <c r="AV34" s="38">
        <f>IFERROR(INDEX('Prior YTD Data Pull'!$A$2:$CB$605,MATCH('Prior YTD Data Table'!$C34,'Prior YTD Data Pull'!$A$2:$A$605,0),MATCH("Salary and Benefit Expense",'Prior YTD Data Pull'!$A$1:$CB$1,0)),"")</f>
        <v>102824000</v>
      </c>
      <c r="AW34" s="38"/>
      <c r="AX34" s="38"/>
      <c r="AY34" s="38"/>
      <c r="AZ34" s="38"/>
    </row>
    <row r="35" spans="1:52" ht="34.200000000000003" x14ac:dyDescent="0.3">
      <c r="A35" s="14" t="str">
        <f>IFERROR(INDEX('Static Data Tab'!$N$2:$N$610,MATCH(D35,'Static Data Tab'!$D$2:$D$610,0)), "")</f>
        <v xml:space="preserve">Baystate Health </v>
      </c>
      <c r="B35" s="14" t="s">
        <v>81</v>
      </c>
      <c r="C35" s="14">
        <v>14495</v>
      </c>
      <c r="D35" s="14">
        <v>4066</v>
      </c>
      <c r="E35" s="14" t="str">
        <f>IFERROR(INDEX('Prior YTD Data Pull'!$A$1:$CB$605,MATCH('Prior YTD Data Table'!$C35,'Prior YTD Data Pull'!$A$1:$A$605,0),MATCH("Organization Type",'Prior YTD Data Pull'!$A$1:$CB$1,0)),"")</f>
        <v>AcuteHospital</v>
      </c>
      <c r="F35" s="14" t="str">
        <f>IFERROR(INDEX('Static Data Tab'!$E$2:$E$610,MATCH('Prior YTD Data Table'!$C35,'Static Data Tab'!$B$2:$B$610,0)), "-")</f>
        <v>Community-High Public Payer Hospital</v>
      </c>
      <c r="G35" s="46" t="str">
        <f>IFERROR(INDEX('Static Data Tab'!$J$2:$J$610,MATCH('Prior YTD Data Table'!$C35,'Static Data Tab'!$B$2:$B$610,0)), "")</f>
        <v>Western Massachusetts</v>
      </c>
      <c r="H35" s="14" t="str">
        <f>IFERROR(INDEX('Static Data Tab'!$F$2:$F$610,MATCH('Prior YTD Data Table'!$C35,'Static Data Tab'!$B$2:$B$610,0)), "")</f>
        <v>x</v>
      </c>
      <c r="I35" s="14">
        <f>IFERROR(INDEX('Static Data Tab'!$G$2:$G$610,MATCH('Prior YTD Data Table'!$C35,'Static Data Tab'!$B$2:$B$610,0)), "")</f>
        <v>0</v>
      </c>
      <c r="J35" s="14" t="str">
        <f>IFERROR(INDEX('Prior YTD Data Pull'!$A$2:$CB$605,MATCH('Prior YTD Data Table'!$C35,'Prior YTD Data Pull'!$A$2:$A$605,0),MATCH("Quarter Range",'Prior YTD Data Pull'!$A$1:$CB$1,0)),"")</f>
        <v xml:space="preserve">10/01/2024-03/31/2025
</v>
      </c>
      <c r="K35" s="37">
        <f t="shared" si="2"/>
        <v>6.3400156588554468E-2</v>
      </c>
      <c r="L35" s="37">
        <f t="shared" si="3"/>
        <v>3.2774348609821379E-4</v>
      </c>
      <c r="M35" s="37">
        <f t="shared" si="4"/>
        <v>6.3727900074652677E-2</v>
      </c>
      <c r="N35" s="38">
        <f t="shared" si="5"/>
        <v>3500000</v>
      </c>
      <c r="O35" s="39">
        <f t="shared" si="6"/>
        <v>0.68516667073081516</v>
      </c>
      <c r="P35" s="38">
        <f>IFERROR(INDEX('Prior YTD Data Pull'!$A$2:$CB$605,MATCH('Prior YTD Data Table'!$C35,'Prior YTD Data Pull'!$A$2:$A$605,0),MATCH("Total Net Assets or Equity",'Prior YTD Data Pull'!$A$1:$CB$1,0)),"")</f>
        <v>23326000</v>
      </c>
      <c r="Q35" s="38">
        <f>IFERROR(INDEX('Prior YTD Data Pull'!$A$2:$CB$605,MATCH('Prior YTD Data Table'!$C35,'Prior YTD Data Pull'!$A$2:$A$605,0),MATCH("Total Operating Revenue",'Prior YTD Data Pull'!$A$1:$CB$1,0)),"")</f>
        <v>54903000</v>
      </c>
      <c r="R35" s="38">
        <f>IFERROR(INDEX('Prior YTD Data Pull'!$A$2:$CB$605,MATCH('Prior YTD Data Table'!$C35,'Prior YTD Data Pull'!$A$2:$A$605,0),MATCH("Total Unrestricted Revenue Gains and Other Support",'Prior YTD Data Pull'!$A$1:$CB$1,0)),"")</f>
        <v>54921000</v>
      </c>
      <c r="S35" s="38">
        <f>IFERROR(INDEX('Prior YTD TS Data Pull'!$J$2:$J$128,MATCH('Prior YTD Data Table'!$C35, 'Prior YTD TS Data Pull'!$A$2:$A$128,0))+INDEX('Prior YTD TS Data Pull'!$N$2:$N$128,MATCH('Prior YTD Data Table'!$C35,'Prior YTD TS Data Pull'!$A$2:$A$609,0))+INDEX('Prior YTD TS Data Pull'!$R$2:$R$128,MATCH('Prior YTD Data Table'!$C35,'Prior YTD TS Data Pull'!$A$2:$A$609,0)),"")</f>
        <v>742192</v>
      </c>
      <c r="T35" s="38">
        <f>IF(INDEX('Prior YTD TS Data Pull'!$A$1:$O$609,MATCH('Prior YTD Data Table'!$C35,'Prior YTD TS Data Pull'!$A$1:$A$609,0),MATCH("Temporary RN Staffing:
Line Reported on in Standardized Financials",'Prior YTD TS Data Pull'!$A$1:$O$1,0))="66.1: Salary and Benefit Expense",'Prior YTD Data Table'!$AV35-'Prior YTD Data Table'!$S35,0)</f>
        <v>0</v>
      </c>
      <c r="U35" s="38">
        <f>IFERROR(INDEX('Prior YTD Data Pull'!$A$2:$CB$605,MATCH('Prior YTD Data Table'!$C35,'Prior YTD Data Pull'!$A$2:$A$605,0),MATCH("Total Expenses Including Nonrecurring Gains Losses",'Prior YTD Data Pull'!$A$1:$CB$1,0)),"")</f>
        <v>51421000</v>
      </c>
      <c r="V35" s="41">
        <f t="shared" si="7"/>
        <v>64.533278905143931</v>
      </c>
      <c r="W35" s="41">
        <f t="shared" si="8"/>
        <v>34.71206614060528</v>
      </c>
      <c r="X35" s="41">
        <f t="shared" si="0"/>
        <v>146.70956553486673</v>
      </c>
      <c r="Y35" s="37">
        <f t="shared" si="9"/>
        <v>0.1223339691347321</v>
      </c>
      <c r="Z35" s="41">
        <f t="shared" si="1"/>
        <v>48.405805038335153</v>
      </c>
      <c r="AA35" s="39">
        <f t="shared" si="10"/>
        <v>0.30101330259808867</v>
      </c>
      <c r="AB35" s="37">
        <f t="shared" si="11"/>
        <v>0.27335903716117238</v>
      </c>
      <c r="AC35" s="37">
        <f t="shared" si="12"/>
        <v>0.52810604476051037</v>
      </c>
      <c r="AD35" s="38">
        <f>IFERROR(INDEX('Prior YTD Data Pull'!$A$2:$CB$605,MATCH('Prior YTD Data Table'!$C35,'Prior YTD Data Pull'!$A$2:$A$605,0),MATCH("Net Patient Service Revenue",'Prior YTD Data Pull'!$A$1:$CB$1,0)),"")</f>
        <v>53099000</v>
      </c>
      <c r="AE35" s="38">
        <f>IFERROR(INDEX('Prior YTD Data Pull'!$A$2:$CB$605,MATCH('Prior YTD Data Table'!$C35,'Prior YTD Data Pull'!$A$2:$A$605,0),MATCH("Total Current Assets",'Prior YTD Data Pull'!$A$1:$CB$1,0)),"")</f>
        <v>28098000</v>
      </c>
      <c r="AF35" s="38">
        <f>IFERROR(INDEX('Prior YTD Data Pull'!$A$2:$CB$605,MATCH('Prior YTD Data Table'!$C35,'Prior YTD Data Pull'!$A$2:$A$605,0),MATCH("Total Current Liabilities",'Prior YTD Data Pull'!$A$1:$CB$1,0)),"")</f>
        <v>41009000</v>
      </c>
      <c r="AG35" s="38">
        <f>IFERROR(INDEX('Prior YTD Data Pull'!$A$2:$CB$605,MATCH('Prior YTD Data Table'!$C35,'Prior YTD Data Pull'!$A$2:$A$605,0),MATCH("Total Non Operating Revenue",'Prior YTD Data Pull'!$A$1:$CB$1,0)),"")</f>
        <v>18000</v>
      </c>
      <c r="AH35" s="38">
        <f>IFERROR(INDEX('Prior YTD Data Pull'!$A$2:$CB$605,MATCH('Prior YTD Data Table'!$C35,'Prior Year Data Pull'!$A$2:$A$593,0),MATCH("Less Accumulated Depreciation",'Prior YTD Data Pull'!$A$1:$CB$1,0)),"")</f>
        <v>136746018</v>
      </c>
      <c r="AI35" s="38">
        <f>IFERROR(INDEX('Prior YTD Data Pull'!$A$2:$CB$605,MATCH('Prior YTD Data Table'!$C35,'Prior YTD Data Pull'!$A$2:$A$605,0),MATCH("Depreciation and Amortization Expense",'Prior YTD Data Pull'!$A$1:$CB$1,0)),"")</f>
        <v>2119000</v>
      </c>
      <c r="AJ35" s="38">
        <f>IFERROR(INDEX('Prior YTD Data Pull'!$A$2:$CB$605,MATCH('Prior YTD Data Table'!$C35,'Prior YTD Data Pull'!$A$2:$A$605,0),MATCH("Net Patient Accounts Receivable",'Prior YTD Data Pull'!$A$1:$CB$1,0)),"")</f>
        <v>10072000</v>
      </c>
      <c r="AK35" s="14" t="str">
        <f>IF('Prior YTD Data Pull'!$H35 = 6, "183", IF('Prior YTD Data Pull'!$H35 = 3, "93",""))</f>
        <v>183</v>
      </c>
      <c r="AL35" s="38">
        <f>IFERROR(INDEX('Prior YTD Data Pull'!$A$2:$CB$605,MATCH('Prior YTD Data Table'!$C35,'Prior YTD Data Pull'!$A$2:$A$605,0),MATCH("Estimated Third Party Settlements",'Prior YTD Data Pull'!$A$1:$CB$1,0)),"")</f>
        <v>1484000</v>
      </c>
      <c r="AM35" s="38">
        <f>IFERROR(INDEX('Prior YTD Data Pull'!$A$2:$CB$605,MATCH('Prior YTD Data Table'!$C35,'Prior YTD Data Pull'!$A$2:$A$605,0),MATCH("Current Liabilities due to Affiliates",'Prior YTD Data Pull'!$A$1:$CB$1,0)),"")</f>
        <v>25937000</v>
      </c>
      <c r="AN35" s="38">
        <f>IFERROR(INDEX('Prior YTD Data Pull'!$A$2:$CB$605,MATCH('Prior YTD Data Table'!$C35,'Prior YTD Data Pull'!$A$2:$A$605,0),MATCH("Short Term Investments",'Prior YTD Data Pull'!$A$1:$CB$1,0)),"")</f>
        <v>3939000</v>
      </c>
      <c r="AO35" s="38">
        <f>IFERROR(INDEX('Prior YTD Data Pull'!$A$2:$CB$605,MATCH('Prior YTD Data Table'!$C35,'Prior YTD Data Pull'!$A$2:$A$605,0),MATCH("Cash and Cash Equivalents",'Prior YTD Data Pull'!$A$1:$CB$1,0)),"")</f>
        <v>9102000</v>
      </c>
      <c r="AP35" s="38">
        <f>IFERROR(INDEX('Prior YTD Data Pull'!$A$2:$CB$605,MATCH('Prior YTD Data Table'!$C35,'Prior YTD Data Pull'!$A$2:$A$605,0),MATCH("Interest Expense",'Prior YTD Data Pull'!$A$1:$CB$1,0)),"")</f>
        <v>624000</v>
      </c>
      <c r="AQ35" s="38">
        <f>IFERROR(INDEX('Prior YTD Data Pull'!$A$2:$CB$605,MATCH('Prior YTD Data Table'!$C35,'Prior YTD Data Pull'!$A$2:$A$605,0),MATCH("Long Term Debt Net of Current Portion",'Prior YTD Data Pull'!$A$1:$CB$1,0)),"")</f>
        <v>20199000</v>
      </c>
      <c r="AR35" s="38">
        <f>IFERROR(INDEX('Prior YTD Data Pull'!$A$2:$CB$605,MATCH('Prior YTD Data Table'!$C35,'Prior YTD Data Pull'!$A$2:$A$605,0),MATCH("Total Assets",'Prior YTD Data Pull'!$A$1:$CB$1,0)),"")</f>
        <v>85331000</v>
      </c>
      <c r="AS35" s="38">
        <f>IFERROR(INDEX('Prior YTD Data Pull'!$A$2:$CB$605,MATCH('Prior YTD Data Table'!$C35,'Prior YTD Data Pull'!$A$2:$A$605,0),MATCH("Long Term Debt Net of Current Portion",'Prior YTD Data Pull'!$A$1:$CB$1,0)),"")</f>
        <v>20199000</v>
      </c>
      <c r="AT35" s="38">
        <f>IFERROR(INDEX('Prior YTD Data Pull'!$A$2:$CB$605,MATCH('Prior YTD Data Table'!$C35,'Prior YTD Data Pull'!$A$2:$A$605,0),MATCH("Net Unrestricted Assets",'Prior YTD Data Pull'!$A$1:$CB$1,0)),"")</f>
        <v>18049000</v>
      </c>
      <c r="AU35" s="38">
        <f>IFERROR(INDEX('Prior YTD Data Pull'!$A$2:$CB$605,MATCH('Prior YTD Data Table'!$C35,'Prior YTD Data Pull'!$A$2:$A$605,0),MATCH("Unrealized Gains/Losses",'Prior YTD Data Pull'!$A$1:$CB$1,0)),"")</f>
        <v>-25000</v>
      </c>
      <c r="AV35" s="38">
        <f>IFERROR(INDEX('Prior YTD Data Pull'!$A$2:$CB$605,MATCH('Prior YTD Data Table'!$C35,'Prior YTD Data Pull'!$A$2:$A$605,0),MATCH("Salary and Benefit Expense",'Prior YTD Data Pull'!$A$1:$CB$1,0)),"")</f>
        <v>23811000</v>
      </c>
      <c r="AW35" s="47"/>
      <c r="AX35" s="47"/>
      <c r="AY35" s="47"/>
      <c r="AZ35" s="47"/>
    </row>
    <row r="36" spans="1:52" ht="34.200000000000003" x14ac:dyDescent="0.3">
      <c r="A36" s="14" t="str">
        <f>IFERROR(INDEX('Static Data Tab'!$N$2:$N$610,MATCH(D36,'Static Data Tab'!$D$2:$D$610,0)), "")</f>
        <v>Beth Israel Lahey Health</v>
      </c>
      <c r="B36" s="57" t="s">
        <v>94</v>
      </c>
      <c r="C36" s="57">
        <v>79</v>
      </c>
      <c r="D36" s="57">
        <v>16665</v>
      </c>
      <c r="E36" s="14" t="str">
        <f>IFERROR(INDEX('Prior YTD Data Pull'!$A$1:$CB$605,MATCH('Prior YTD Data Table'!$C36,'Prior YTD Data Pull'!$A$1:$A$605,0),MATCH("Organization Type",'Prior YTD Data Pull'!$A$1:$CB$1,0)),"")</f>
        <v>AcuteHospital</v>
      </c>
      <c r="F36" s="14" t="str">
        <f>IFERROR(INDEX('Static Data Tab'!$E$2:$E$610,MATCH('Prior YTD Data Table'!$C36,'Static Data Tab'!$B$2:$B$610,0)), "-")</f>
        <v>Community-High Public Payer Hospital</v>
      </c>
      <c r="G36" s="46" t="str">
        <f>IFERROR(INDEX('Static Data Tab'!$J$2:$J$610,MATCH('Prior YTD Data Table'!$C36,'Static Data Tab'!$B$2:$B$610,0)), "")</f>
        <v>Metro South</v>
      </c>
      <c r="H36" s="14" t="str">
        <f>IFERROR(INDEX('Static Data Tab'!$F$2:$F$610,MATCH('Prior YTD Data Table'!$C36,'Static Data Tab'!$B$2:$B$610,0)), "")</f>
        <v>x</v>
      </c>
      <c r="I36" s="14">
        <f>IFERROR(INDEX('Static Data Tab'!$G$2:$G$610,MATCH('Prior YTD Data Table'!$C36,'Static Data Tab'!$B$2:$B$610,0)), "")</f>
        <v>0</v>
      </c>
      <c r="J36" s="14" t="str">
        <f>IFERROR(INDEX('Prior YTD Data Pull'!$A$2:$CB$605,MATCH('Prior YTD Data Table'!$C36,'Prior YTD Data Pull'!$A$2:$A$605,0),MATCH("Quarter Range",'Prior YTD Data Pull'!$A$1:$CB$1,0)),"")</f>
        <v xml:space="preserve">10/01/2024-03/31/2025
</v>
      </c>
      <c r="K36" s="37">
        <f t="shared" si="2"/>
        <v>9.0395071427094749E-3</v>
      </c>
      <c r="L36" s="37">
        <f t="shared" si="3"/>
        <v>6.5845237849124476E-3</v>
      </c>
      <c r="M36" s="37">
        <f t="shared" si="4"/>
        <v>1.5624030927621923E-2</v>
      </c>
      <c r="N36" s="38">
        <f t="shared" si="5"/>
        <v>3023000</v>
      </c>
      <c r="O36" s="39">
        <f t="shared" si="6"/>
        <v>0.75624211483730897</v>
      </c>
      <c r="P36" s="38">
        <f>IFERROR(INDEX('Prior YTD Data Pull'!$A$2:$CB$605,MATCH('Prior YTD Data Table'!$C36,'Prior YTD Data Pull'!$A$2:$A$605,0),MATCH("Total Net Assets or Equity",'Prior YTD Data Pull'!$A$1:$CB$1,0)),"")</f>
        <v>91115000</v>
      </c>
      <c r="Q36" s="38">
        <f>IFERROR(INDEX('Prior YTD Data Pull'!$A$2:$CB$605,MATCH('Prior YTD Data Table'!$C36,'Prior YTD Data Pull'!$A$2:$A$605,0),MATCH("Total Operating Revenue",'Prior YTD Data Pull'!$A$1:$CB$1,0)),"")</f>
        <v>192210000</v>
      </c>
      <c r="R36" s="38">
        <f>IFERROR(INDEX('Prior YTD Data Pull'!$A$2:$CB$605,MATCH('Prior YTD Data Table'!$C36,'Prior YTD Data Pull'!$A$2:$A$605,0),MATCH("Total Unrestricted Revenue Gains and Other Support",'Prior YTD Data Pull'!$A$1:$CB$1,0)),"")</f>
        <v>193484000</v>
      </c>
      <c r="S36" s="38">
        <f>IFERROR(INDEX('Prior YTD TS Data Pull'!$J$2:$J$128,MATCH('Prior YTD Data Table'!$C36, 'Prior YTD TS Data Pull'!$A$2:$A$128,0))+INDEX('Prior YTD TS Data Pull'!$N$2:$N$128,MATCH('Prior YTD Data Table'!$C36,'Prior YTD TS Data Pull'!$A$2:$A$609,0))+INDEX('Prior YTD TS Data Pull'!$R$2:$R$128,MATCH('Prior YTD Data Table'!$C36,'Prior YTD TS Data Pull'!$A$2:$A$609,0)),"")</f>
        <v>8095703</v>
      </c>
      <c r="T36" s="38">
        <f>IF(INDEX('Prior YTD TS Data Pull'!$A$1:$O$609,MATCH('Prior YTD Data Table'!$C36,'Prior YTD TS Data Pull'!$A$1:$A$609,0),MATCH("Temporary RN Staffing:
Line Reported on in Standardized Financials",'Prior YTD TS Data Pull'!$A$1:$O$1,0))="66.1: Salary and Benefit Expense",'Prior YTD Data Table'!$AV36-'Prior YTD Data Table'!$S36,0)</f>
        <v>75401297</v>
      </c>
      <c r="U36" s="38">
        <f>IFERROR(INDEX('Prior YTD Data Pull'!$A$2:$CB$605,MATCH('Prior YTD Data Table'!$C36,'Prior YTD Data Pull'!$A$2:$A$605,0),MATCH("Total Expenses Including Nonrecurring Gains Losses",'Prior YTD Data Pull'!$A$1:$CB$1,0)),"")</f>
        <v>190461000</v>
      </c>
      <c r="V36" s="41">
        <f t="shared" si="7"/>
        <v>9.4532941540364988</v>
      </c>
      <c r="W36" s="41">
        <f t="shared" si="8"/>
        <v>46.345143366158091</v>
      </c>
      <c r="X36" s="41">
        <f t="shared" si="0"/>
        <v>96.118389086659974</v>
      </c>
      <c r="Y36" s="37">
        <f t="shared" si="9"/>
        <v>9.0206263098258244E-2</v>
      </c>
      <c r="Z36" s="41">
        <f t="shared" si="1"/>
        <v>22.461871246501264</v>
      </c>
      <c r="AA36" s="39">
        <f t="shared" si="10"/>
        <v>0.28146010676670036</v>
      </c>
      <c r="AB36" s="37">
        <f t="shared" si="11"/>
        <v>0.35271733449983161</v>
      </c>
      <c r="AC36" s="37">
        <f t="shared" si="12"/>
        <v>0.33201430040648416</v>
      </c>
      <c r="AD36" s="38">
        <f>IFERROR(INDEX('Prior YTD Data Pull'!$A$2:$CB$605,MATCH('Prior YTD Data Table'!$C36,'Prior YTD Data Pull'!$A$2:$A$605,0),MATCH("Net Patient Service Revenue",'Prior YTD Data Pull'!$A$1:$CB$1,0)),"")</f>
        <v>184109000</v>
      </c>
      <c r="AE36" s="38">
        <f>IFERROR(INDEX('Prior YTD Data Pull'!$A$2:$CB$605,MATCH('Prior YTD Data Table'!$C36,'Prior YTD Data Pull'!$A$2:$A$605,0),MATCH("Total Current Assets",'Prior YTD Data Pull'!$A$1:$CB$1,0)),"")</f>
        <v>77325000</v>
      </c>
      <c r="AF36" s="38">
        <f>IFERROR(INDEX('Prior YTD Data Pull'!$A$2:$CB$605,MATCH('Prior YTD Data Table'!$C36,'Prior YTD Data Pull'!$A$2:$A$605,0),MATCH("Total Current Liabilities",'Prior YTD Data Pull'!$A$1:$CB$1,0)),"")</f>
        <v>102249000</v>
      </c>
      <c r="AG36" s="38">
        <f>IFERROR(INDEX('Prior YTD Data Pull'!$A$2:$CB$605,MATCH('Prior YTD Data Table'!$C36,'Prior YTD Data Pull'!$A$2:$A$605,0),MATCH("Total Non Operating Revenue",'Prior YTD Data Pull'!$A$1:$CB$1,0)),"")</f>
        <v>1274000</v>
      </c>
      <c r="AH36" s="38">
        <f>IFERROR(INDEX('Prior YTD Data Pull'!$A$2:$CB$605,MATCH('Prior YTD Data Table'!$C36,'Prior Year Data Pull'!$A$2:$A$593,0),MATCH("Less Accumulated Depreciation",'Prior YTD Data Pull'!$A$1:$CB$1,0)),"")</f>
        <v>61125000</v>
      </c>
      <c r="AI36" s="38">
        <f>IFERROR(INDEX('Prior YTD Data Pull'!$A$2:$CB$605,MATCH('Prior YTD Data Table'!$C36,'Prior YTD Data Pull'!$A$2:$A$605,0),MATCH("Depreciation and Amortization Expense",'Prior YTD Data Pull'!$A$1:$CB$1,0)),"")</f>
        <v>6466000</v>
      </c>
      <c r="AJ36" s="38">
        <f>IFERROR(INDEX('Prior YTD Data Pull'!$A$2:$CB$605,MATCH('Prior YTD Data Table'!$C36,'Prior YTD Data Pull'!$A$2:$A$605,0),MATCH("Net Patient Accounts Receivable",'Prior YTD Data Pull'!$A$1:$CB$1,0)),"")</f>
        <v>46626000</v>
      </c>
      <c r="AK36" s="14" t="str">
        <f>IF('Prior YTD Data Pull'!$H36 = 6, "183", IF('Prior YTD Data Pull'!$H36 = 3, "93",""))</f>
        <v>183</v>
      </c>
      <c r="AL36" s="38">
        <f>IFERROR(INDEX('Prior YTD Data Pull'!$A$2:$CB$605,MATCH('Prior YTD Data Table'!$C36,'Prior YTD Data Pull'!$A$2:$A$605,0),MATCH("Estimated Third Party Settlements",'Prior YTD Data Pull'!$A$1:$CB$1,0)),"")</f>
        <v>5608000</v>
      </c>
      <c r="AM36" s="38">
        <f>IFERROR(INDEX('Prior YTD Data Pull'!$A$2:$CB$605,MATCH('Prior YTD Data Table'!$C36,'Prior YTD Data Pull'!$A$2:$A$605,0),MATCH("Current Liabilities due to Affiliates",'Prior YTD Data Pull'!$A$1:$CB$1,0)),"")</f>
        <v>65830000</v>
      </c>
      <c r="AN36" s="38">
        <f>IFERROR(INDEX('Prior YTD Data Pull'!$A$2:$CB$605,MATCH('Prior YTD Data Table'!$C36,'Prior YTD Data Pull'!$A$2:$A$605,0),MATCH("Short Term Investments",'Prior YTD Data Pull'!$A$1:$CB$1,0)),"")</f>
        <v>22569000</v>
      </c>
      <c r="AO36" s="38">
        <f>IFERROR(INDEX('Prior YTD Data Pull'!$A$2:$CB$605,MATCH('Prior YTD Data Table'!$C36,'Prior YTD Data Pull'!$A$2:$A$605,0),MATCH("Cash and Cash Equivalents",'Prior YTD Data Pull'!$A$1:$CB$1,0)),"")</f>
        <v>15000</v>
      </c>
      <c r="AP36" s="38">
        <f>IFERROR(INDEX('Prior YTD Data Pull'!$A$2:$CB$605,MATCH('Prior YTD Data Table'!$C36,'Prior YTD Data Pull'!$A$2:$A$605,0),MATCH("Interest Expense",'Prior YTD Data Pull'!$A$1:$CB$1,0)),"")</f>
        <v>758000</v>
      </c>
      <c r="AQ36" s="38">
        <f>IFERROR(INDEX('Prior YTD Data Pull'!$A$2:$CB$605,MATCH('Prior YTD Data Table'!$C36,'Prior YTD Data Pull'!$A$2:$A$605,0),MATCH("Long Term Debt Net of Current Portion",'Prior YTD Data Pull'!$A$1:$CB$1,0)),"")</f>
        <v>33897000</v>
      </c>
      <c r="AR36" s="38">
        <f>IFERROR(INDEX('Prior YTD Data Pull'!$A$2:$CB$605,MATCH('Prior YTD Data Table'!$C36,'Prior YTD Data Pull'!$A$2:$A$605,0),MATCH("Total Assets",'Prior YTD Data Pull'!$A$1:$CB$1,0)),"")</f>
        <v>258323000</v>
      </c>
      <c r="AS36" s="38">
        <f>IFERROR(INDEX('Prior YTD Data Pull'!$A$2:$CB$605,MATCH('Prior YTD Data Table'!$C36,'Prior YTD Data Pull'!$A$2:$A$605,0),MATCH("Long Term Debt Net of Current Portion",'Prior YTD Data Pull'!$A$1:$CB$1,0)),"")</f>
        <v>33897000</v>
      </c>
      <c r="AT36" s="38">
        <f>IFERROR(INDEX('Prior YTD Data Pull'!$A$2:$CB$605,MATCH('Prior YTD Data Table'!$C36,'Prior YTD Data Pull'!$A$2:$A$605,0),MATCH("Net Unrestricted Assets",'Prior YTD Data Pull'!$A$1:$CB$1,0)),"")</f>
        <v>68198000</v>
      </c>
      <c r="AU36" s="38">
        <f>IFERROR(INDEX('Prior YTD Data Pull'!$A$2:$CB$605,MATCH('Prior YTD Data Table'!$C36,'Prior YTD Data Pull'!$A$2:$A$605,0),MATCH("Unrealized Gains/Losses",'Prior YTD Data Pull'!$A$1:$CB$1,0)),"")</f>
        <v>493000</v>
      </c>
      <c r="AV36" s="38">
        <f>IFERROR(INDEX('Prior YTD Data Pull'!$A$2:$CB$605,MATCH('Prior YTD Data Table'!$C36,'Prior YTD Data Pull'!$A$2:$A$605,0),MATCH("Salary and Benefit Expense",'Prior YTD Data Pull'!$A$1:$CB$1,0)),"")</f>
        <v>83497000</v>
      </c>
      <c r="AW36" s="38"/>
      <c r="AX36" s="38"/>
      <c r="AY36" s="38"/>
      <c r="AZ36" s="38"/>
    </row>
    <row r="37" spans="1:52" ht="34.200000000000003" x14ac:dyDescent="0.3">
      <c r="A37" s="14" t="str">
        <f>IFERROR(INDEX('Static Data Tab'!$N$2:$N$610,MATCH(D37,'Static Data Tab'!$D$2:$D$610,0)), "")</f>
        <v>Mass General Brigham</v>
      </c>
      <c r="B37" s="14" t="s">
        <v>150</v>
      </c>
      <c r="C37" s="14">
        <v>345</v>
      </c>
      <c r="D37" s="14">
        <v>3791</v>
      </c>
      <c r="E37" s="14" t="str">
        <f>IFERROR(INDEX('Prior YTD Data Pull'!$A$1:$CB$605,MATCH('Prior YTD Data Table'!$C37,'Prior YTD Data Pull'!$A$1:$A$605,0),MATCH("Organization Type",'Prior YTD Data Pull'!$A$1:$CB$1,0)),"")</f>
        <v>AcuteHospital</v>
      </c>
      <c r="F37" s="14" t="str">
        <f>IFERROR(INDEX('Static Data Tab'!$E$2:$E$610,MATCH('Prior YTD Data Table'!$C37,'Static Data Tab'!$B$2:$B$610,0)), "-")</f>
        <v>Community-High Public Payer Hospital</v>
      </c>
      <c r="G37" s="46" t="str">
        <f>IFERROR(INDEX('Static Data Tab'!$J$2:$J$610,MATCH('Prior YTD Data Table'!$C37,'Static Data Tab'!$B$2:$B$610,0)), "")</f>
        <v>Northeastern Massachusetts</v>
      </c>
      <c r="H37" s="14" t="str">
        <f>IFERROR(INDEX('Static Data Tab'!$F$2:$F$610,MATCH('Prior YTD Data Table'!$C37,'Static Data Tab'!$B$2:$B$610,0)), "")</f>
        <v>x</v>
      </c>
      <c r="I37" s="14">
        <f>IFERROR(INDEX('Static Data Tab'!$G$2:$G$610,MATCH('Prior YTD Data Table'!$C37,'Static Data Tab'!$B$2:$B$610,0)), "")</f>
        <v>0</v>
      </c>
      <c r="J37" s="14" t="str">
        <f>IFERROR(INDEX('Prior YTD Data Pull'!$A$2:$CB$605,MATCH('Prior YTD Data Table'!$C37,'Prior YTD Data Pull'!$A$2:$A$605,0),MATCH("Quarter Range",'Prior YTD Data Pull'!$A$1:$CB$1,0)),"")</f>
        <v xml:space="preserve">10/01/2024-03/31/2025
</v>
      </c>
      <c r="K37" s="37">
        <f t="shared" si="2"/>
        <v>2.115175586361084E-2</v>
      </c>
      <c r="L37" s="37">
        <f t="shared" si="3"/>
        <v>-1.9456936652912357E-2</v>
      </c>
      <c r="M37" s="37">
        <f t="shared" si="4"/>
        <v>1.6948192106984819E-3</v>
      </c>
      <c r="N37" s="38">
        <f t="shared" si="5"/>
        <v>658000</v>
      </c>
      <c r="O37" s="39" t="str">
        <f t="shared" si="6"/>
        <v/>
      </c>
      <c r="P37" s="38">
        <f>IFERROR(INDEX('Prior YTD Data Pull'!$A$2:$CB$605,MATCH('Prior YTD Data Table'!$C37,'Prior YTD Data Pull'!$A$2:$A$605,0),MATCH("Total Net Assets or Equity",'Prior YTD Data Pull'!$A$1:$CB$1,0)),"")</f>
        <v>0</v>
      </c>
      <c r="Q37" s="38">
        <f>IFERROR(INDEX('Prior YTD Data Pull'!$A$2:$CB$605,MATCH('Prior YTD Data Table'!$C37,'Prior YTD Data Pull'!$A$2:$A$605,0),MATCH("Total Operating Revenue",'Prior YTD Data Pull'!$A$1:$CB$1,0)),"")</f>
        <v>395796000</v>
      </c>
      <c r="R37" s="38">
        <f>IFERROR(INDEX('Prior YTD Data Pull'!$A$2:$CB$605,MATCH('Prior YTD Data Table'!$C37,'Prior YTD Data Pull'!$A$2:$A$605,0),MATCH("Total Unrestricted Revenue Gains and Other Support",'Prior YTD Data Pull'!$A$1:$CB$1,0)),"")</f>
        <v>388242000</v>
      </c>
      <c r="S37" s="38">
        <f>IFERROR(INDEX('Prior YTD TS Data Pull'!$J$2:$J$128,MATCH('Prior YTD Data Table'!$C37, 'Prior YTD TS Data Pull'!$A$2:$A$128,0))+INDEX('Prior YTD TS Data Pull'!$N$2:$N$128,MATCH('Prior YTD Data Table'!$C37,'Prior YTD TS Data Pull'!$A$2:$A$609,0))+INDEX('Prior YTD TS Data Pull'!$R$2:$R$128,MATCH('Prior YTD Data Table'!$C37,'Prior YTD TS Data Pull'!$A$2:$A$609,0)),"")</f>
        <v>9844540.5300000012</v>
      </c>
      <c r="T37" s="38">
        <f>IF(INDEX('Prior YTD TS Data Pull'!$A$1:$O$609,MATCH('Prior YTD Data Table'!$C37,'Prior YTD TS Data Pull'!$A$1:$A$609,0),MATCH("Temporary RN Staffing:
Line Reported on in Standardized Financials",'Prior YTD TS Data Pull'!$A$1:$O$1,0))="66.1: Salary and Benefit Expense",'Prior YTD Data Table'!$AV37-'Prior YTD Data Table'!$S37,0)</f>
        <v>0</v>
      </c>
      <c r="U37" s="38">
        <f>IFERROR(INDEX('Prior YTD Data Pull'!$A$2:$CB$605,MATCH('Prior YTD Data Table'!$C37,'Prior YTD Data Pull'!$A$2:$A$605,0),MATCH("Total Expenses Including Nonrecurring Gains Losses",'Prior YTD Data Pull'!$A$1:$CB$1,0)),"")</f>
        <v>387584000</v>
      </c>
      <c r="V37" s="41">
        <f t="shared" si="7"/>
        <v>5.5306675233984777</v>
      </c>
      <c r="W37" s="41">
        <f t="shared" si="8"/>
        <v>0</v>
      </c>
      <c r="X37" s="41">
        <f t="shared" si="0"/>
        <v>0</v>
      </c>
      <c r="Y37" s="37" t="str">
        <f t="shared" si="9"/>
        <v/>
      </c>
      <c r="Z37" s="41">
        <f t="shared" si="1"/>
        <v>0</v>
      </c>
      <c r="AA37" s="39">
        <f t="shared" si="10"/>
        <v>5.9979442667884877</v>
      </c>
      <c r="AB37" s="37" t="str">
        <f t="shared" si="11"/>
        <v/>
      </c>
      <c r="AC37" s="37" t="str">
        <f t="shared" si="12"/>
        <v/>
      </c>
      <c r="AD37" s="38">
        <f>IFERROR(INDEX('Prior YTD Data Pull'!$A$2:$CB$605,MATCH('Prior YTD Data Table'!$C37,'Prior YTD Data Pull'!$A$2:$A$605,0),MATCH("Net Patient Service Revenue",'Prior YTD Data Pull'!$A$1:$CB$1,0)),"")</f>
        <v>337199000</v>
      </c>
      <c r="AE37" s="38">
        <f>IFERROR(INDEX('Prior YTD Data Pull'!$A$2:$CB$605,MATCH('Prior YTD Data Table'!$C37,'Prior YTD Data Pull'!$A$2:$A$605,0),MATCH("Total Current Assets",'Prior YTD Data Pull'!$A$1:$CB$1,0)),"")</f>
        <v>0</v>
      </c>
      <c r="AF37" s="38">
        <f>IFERROR(INDEX('Prior YTD Data Pull'!$A$2:$CB$605,MATCH('Prior YTD Data Table'!$C37,'Prior YTD Data Pull'!$A$2:$A$605,0),MATCH("Total Current Liabilities",'Prior YTD Data Pull'!$A$1:$CB$1,0)),"")</f>
        <v>0</v>
      </c>
      <c r="AG37" s="38">
        <f>IFERROR(INDEX('Prior YTD Data Pull'!$A$2:$CB$605,MATCH('Prior YTD Data Table'!$C37,'Prior YTD Data Pull'!$A$2:$A$605,0),MATCH("Total Non Operating Revenue",'Prior YTD Data Pull'!$A$1:$CB$1,0)),"")</f>
        <v>-7554000</v>
      </c>
      <c r="AH37" s="38">
        <f>IFERROR(INDEX('Prior YTD Data Pull'!$A$2:$CB$605,MATCH('Prior YTD Data Table'!$C37,'Prior Year Data Pull'!$A$2:$A$593,0),MATCH("Less Accumulated Depreciation",'Prior YTD Data Pull'!$A$1:$CB$1,0)),"")</f>
        <v>114047895</v>
      </c>
      <c r="AI37" s="38">
        <f>IFERROR(INDEX('Prior YTD Data Pull'!$A$2:$CB$605,MATCH('Prior YTD Data Table'!$C37,'Prior YTD Data Pull'!$A$2:$A$605,0),MATCH("Depreciation and Amortization Expense",'Prior YTD Data Pull'!$A$1:$CB$1,0)),"")</f>
        <v>20621000</v>
      </c>
      <c r="AJ37" s="38">
        <f>IFERROR(INDEX('Prior YTD Data Pull'!$A$2:$CB$605,MATCH('Prior YTD Data Table'!$C37,'Prior YTD Data Pull'!$A$2:$A$605,0),MATCH("Net Patient Accounts Receivable",'Prior YTD Data Pull'!$A$1:$CB$1,0)),"")</f>
        <v>0</v>
      </c>
      <c r="AK37" s="14" t="str">
        <f>IF('Prior YTD Data Pull'!$H37 = 6, "183", IF('Prior YTD Data Pull'!$H37 = 3, "93",""))</f>
        <v>183</v>
      </c>
      <c r="AL37" s="38">
        <f>IFERROR(INDEX('Prior YTD Data Pull'!$A$2:$CB$605,MATCH('Prior YTD Data Table'!$C37,'Prior YTD Data Pull'!$A$2:$A$605,0),MATCH("Estimated Third Party Settlements",'Prior YTD Data Pull'!$A$1:$CB$1,0)),"")</f>
        <v>0</v>
      </c>
      <c r="AM37" s="38">
        <f>IFERROR(INDEX('Prior YTD Data Pull'!$A$2:$CB$605,MATCH('Prior YTD Data Table'!$C37,'Prior YTD Data Pull'!$A$2:$A$605,0),MATCH("Current Liabilities due to Affiliates",'Prior YTD Data Pull'!$A$1:$CB$1,0)),"")</f>
        <v>0</v>
      </c>
      <c r="AN37" s="38">
        <f>IFERROR(INDEX('Prior YTD Data Pull'!$A$2:$CB$605,MATCH('Prior YTD Data Table'!$C37,'Prior YTD Data Pull'!$A$2:$A$605,0),MATCH("Short Term Investments",'Prior YTD Data Pull'!$A$1:$CB$1,0)),"")</f>
        <v>0</v>
      </c>
      <c r="AO37" s="38">
        <f>IFERROR(INDEX('Prior YTD Data Pull'!$A$2:$CB$605,MATCH('Prior YTD Data Table'!$C37,'Prior YTD Data Pull'!$A$2:$A$605,0),MATCH("Cash and Cash Equivalents",'Prior YTD Data Pull'!$A$1:$CB$1,0)),"")</f>
        <v>0</v>
      </c>
      <c r="AP37" s="38">
        <f>IFERROR(INDEX('Prior YTD Data Pull'!$A$2:$CB$605,MATCH('Prior YTD Data Table'!$C37,'Prior YTD Data Pull'!$A$2:$A$605,0),MATCH("Interest Expense",'Prior YTD Data Pull'!$A$1:$CB$1,0)),"")</f>
        <v>4378000</v>
      </c>
      <c r="AQ37" s="38">
        <f>IFERROR(INDEX('Prior YTD Data Pull'!$A$2:$CB$605,MATCH('Prior YTD Data Table'!$C37,'Prior YTD Data Pull'!$A$2:$A$605,0),MATCH("Long Term Debt Net of Current Portion",'Prior YTD Data Pull'!$A$1:$CB$1,0)),"")</f>
        <v>0</v>
      </c>
      <c r="AR37" s="38">
        <f>IFERROR(INDEX('Prior YTD Data Pull'!$A$2:$CB$605,MATCH('Prior YTD Data Table'!$C37,'Prior YTD Data Pull'!$A$2:$A$605,0),MATCH("Total Assets",'Prior YTD Data Pull'!$A$1:$CB$1,0)),"")</f>
        <v>0</v>
      </c>
      <c r="AS37" s="38">
        <f>IFERROR(INDEX('Prior YTD Data Pull'!$A$2:$CB$605,MATCH('Prior YTD Data Table'!$C37,'Prior YTD Data Pull'!$A$2:$A$605,0),MATCH("Long Term Debt Net of Current Portion",'Prior YTD Data Pull'!$A$1:$CB$1,0)),"")</f>
        <v>0</v>
      </c>
      <c r="AT37" s="38">
        <f>IFERROR(INDEX('Prior YTD Data Pull'!$A$2:$CB$605,MATCH('Prior YTD Data Table'!$C37,'Prior YTD Data Pull'!$A$2:$A$605,0),MATCH("Net Unrestricted Assets",'Prior YTD Data Pull'!$A$1:$CB$1,0)),"")</f>
        <v>0</v>
      </c>
      <c r="AU37" s="38">
        <f>IFERROR(INDEX('Prior YTD Data Pull'!$A$2:$CB$605,MATCH('Prior YTD Data Table'!$C37,'Prior YTD Data Pull'!$A$2:$A$605,0),MATCH("Unrealized Gains/Losses",'Prior YTD Data Pull'!$A$1:$CB$1,0)),"")</f>
        <v>-602000</v>
      </c>
      <c r="AV37" s="38">
        <f>IFERROR(INDEX('Prior YTD Data Pull'!$A$2:$CB$605,MATCH('Prior YTD Data Table'!$C37,'Prior YTD Data Pull'!$A$2:$A$605,0),MATCH("Salary and Benefit Expense",'Prior YTD Data Pull'!$A$1:$CB$1,0)),"")</f>
        <v>180583000</v>
      </c>
      <c r="AW37" s="47"/>
      <c r="AX37" s="47"/>
      <c r="AY37" s="47"/>
      <c r="AZ37" s="47"/>
    </row>
    <row r="38" spans="1:52" ht="34.200000000000003" x14ac:dyDescent="0.3">
      <c r="A38" s="14" t="str">
        <f>IFERROR(INDEX('Static Data Tab'!$N$2:$N$610,MATCH(D38,'Static Data Tab'!$D$2:$D$610,0)), "")</f>
        <v>Beth Israel Lahey Health</v>
      </c>
      <c r="B38" s="57" t="s">
        <v>97</v>
      </c>
      <c r="C38" s="57">
        <v>100</v>
      </c>
      <c r="D38" s="57">
        <v>16665</v>
      </c>
      <c r="E38" s="14" t="str">
        <f>IFERROR(INDEX('Prior YTD Data Pull'!$A$1:$CB$605,MATCH('Prior YTD Data Table'!$C38,'Prior YTD Data Pull'!$A$1:$A$605,0),MATCH("Organization Type",'Prior YTD Data Pull'!$A$1:$CB$1,0)),"")</f>
        <v>AcuteHospital</v>
      </c>
      <c r="F38" s="14" t="str">
        <f>IFERROR(INDEX('Static Data Tab'!$E$2:$E$610,MATCH('Prior YTD Data Table'!$C38,'Static Data Tab'!$B$2:$B$610,0)), "-")</f>
        <v>Teaching Hospital</v>
      </c>
      <c r="G38" s="46" t="str">
        <f>IFERROR(INDEX('Static Data Tab'!$J$2:$J$610,MATCH('Prior YTD Data Table'!$C38,'Static Data Tab'!$B$2:$B$610,0)), "")</f>
        <v>Metro Boston</v>
      </c>
      <c r="H38" s="14">
        <f>IFERROR(INDEX('Static Data Tab'!$F$2:$F$610,MATCH('Prior YTD Data Table'!$C38,'Static Data Tab'!$B$2:$B$610,0)), "")</f>
        <v>0</v>
      </c>
      <c r="I38" s="14">
        <f>IFERROR(INDEX('Static Data Tab'!$G$2:$G$610,MATCH('Prior YTD Data Table'!$C38,'Static Data Tab'!$B$2:$B$610,0)), "")</f>
        <v>0</v>
      </c>
      <c r="J38" s="14" t="str">
        <f>IFERROR(INDEX('Prior YTD Data Pull'!$A$2:$CB$605,MATCH('Prior YTD Data Table'!$C38,'Prior YTD Data Pull'!$A$2:$A$605,0),MATCH("Quarter Range",'Prior YTD Data Pull'!$A$1:$CB$1,0)),"")</f>
        <v xml:space="preserve">10/01/2024-03/31/2025
</v>
      </c>
      <c r="K38" s="37">
        <f t="shared" si="2"/>
        <v>2.4498601104768543E-2</v>
      </c>
      <c r="L38" s="37">
        <f t="shared" si="3"/>
        <v>3.4065404757268616E-2</v>
      </c>
      <c r="M38" s="37">
        <f t="shared" si="4"/>
        <v>5.8564005862037159E-2</v>
      </c>
      <c r="N38" s="38">
        <f t="shared" si="5"/>
        <v>11429000</v>
      </c>
      <c r="O38" s="39">
        <f t="shared" si="6"/>
        <v>1.7244606615335456</v>
      </c>
      <c r="P38" s="38">
        <f>IFERROR(INDEX('Prior YTD Data Pull'!$A$2:$CB$605,MATCH('Prior YTD Data Table'!$C38,'Prior YTD Data Pull'!$A$2:$A$605,0),MATCH("Total Net Assets or Equity",'Prior YTD Data Pull'!$A$1:$CB$1,0)),"")</f>
        <v>215383000</v>
      </c>
      <c r="Q38" s="38">
        <f>IFERROR(INDEX('Prior YTD Data Pull'!$A$2:$CB$605,MATCH('Prior YTD Data Table'!$C38,'Prior YTD Data Pull'!$A$2:$A$605,0),MATCH("Total Operating Revenue",'Prior YTD Data Pull'!$A$1:$CB$1,0)),"")</f>
        <v>188506000</v>
      </c>
      <c r="R38" s="38">
        <f>IFERROR(INDEX('Prior YTD Data Pull'!$A$2:$CB$605,MATCH('Prior YTD Data Table'!$C38,'Prior YTD Data Pull'!$A$2:$A$605,0),MATCH("Total Unrestricted Revenue Gains and Other Support",'Prior YTD Data Pull'!$A$1:$CB$1,0)),"")</f>
        <v>195154000</v>
      </c>
      <c r="S38" s="38">
        <f>IFERROR(INDEX('Prior YTD TS Data Pull'!$J$2:$J$128,MATCH('Prior YTD Data Table'!$C38, 'Prior YTD TS Data Pull'!$A$2:$A$128,0))+INDEX('Prior YTD TS Data Pull'!$N$2:$N$128,MATCH('Prior YTD Data Table'!$C38,'Prior YTD TS Data Pull'!$A$2:$A$609,0))+INDEX('Prior YTD TS Data Pull'!$R$2:$R$128,MATCH('Prior YTD Data Table'!$C38,'Prior YTD TS Data Pull'!$A$2:$A$609,0)),"")</f>
        <v>1771664</v>
      </c>
      <c r="T38" s="38">
        <f>IF(INDEX('Prior YTD TS Data Pull'!$A$1:$O$609,MATCH('Prior YTD Data Table'!$C38,'Prior YTD TS Data Pull'!$A$1:$A$609,0),MATCH("Temporary RN Staffing:
Line Reported on in Standardized Financials",'Prior YTD TS Data Pull'!$A$1:$O$1,0))="66.1: Salary and Benefit Expense",'Prior YTD Data Table'!$AV38-'Prior YTD Data Table'!$S38,0)</f>
        <v>78119336</v>
      </c>
      <c r="U38" s="38">
        <f>IFERROR(INDEX('Prior YTD Data Pull'!$A$2:$CB$605,MATCH('Prior YTD Data Table'!$C38,'Prior YTD Data Pull'!$A$2:$A$605,0),MATCH("Total Expenses Including Nonrecurring Gains Losses",'Prior YTD Data Pull'!$A$1:$CB$1,0)),"")</f>
        <v>183725000</v>
      </c>
      <c r="V38" s="41">
        <f t="shared" si="7"/>
        <v>0</v>
      </c>
      <c r="W38" s="41">
        <f t="shared" si="8"/>
        <v>41.025376009695364</v>
      </c>
      <c r="X38" s="41">
        <f t="shared" si="0"/>
        <v>94.58224946196313</v>
      </c>
      <c r="Y38" s="37">
        <f t="shared" si="9"/>
        <v>0.18355437665782492</v>
      </c>
      <c r="Z38" s="41">
        <f t="shared" si="1"/>
        <v>127.09998128567419</v>
      </c>
      <c r="AA38" s="39">
        <f t="shared" si="10"/>
        <v>0.32818343978364695</v>
      </c>
      <c r="AB38" s="37">
        <f t="shared" si="11"/>
        <v>0.4986687226219913</v>
      </c>
      <c r="AC38" s="37">
        <f t="shared" si="12"/>
        <v>0.26020823072605864</v>
      </c>
      <c r="AD38" s="38">
        <f>IFERROR(INDEX('Prior YTD Data Pull'!$A$2:$CB$605,MATCH('Prior YTD Data Table'!$C38,'Prior YTD Data Pull'!$A$2:$A$605,0),MATCH("Net Patient Service Revenue",'Prior YTD Data Pull'!$A$1:$CB$1,0)),"")</f>
        <v>174929000</v>
      </c>
      <c r="AE38" s="38">
        <f>IFERROR(INDEX('Prior YTD Data Pull'!$A$2:$CB$605,MATCH('Prior YTD Data Table'!$C38,'Prior YTD Data Pull'!$A$2:$A$605,0),MATCH("Total Current Assets",'Prior YTD Data Pull'!$A$1:$CB$1,0)),"")</f>
        <v>167302000</v>
      </c>
      <c r="AF38" s="38">
        <f>IFERROR(INDEX('Prior YTD Data Pull'!$A$2:$CB$605,MATCH('Prior YTD Data Table'!$C38,'Prior YTD Data Pull'!$A$2:$A$605,0),MATCH("Total Current Liabilities",'Prior YTD Data Pull'!$A$1:$CB$1,0)),"")</f>
        <v>97017000</v>
      </c>
      <c r="AG38" s="38">
        <f>IFERROR(INDEX('Prior YTD Data Pull'!$A$2:$CB$605,MATCH('Prior YTD Data Table'!$C38,'Prior YTD Data Pull'!$A$2:$A$605,0),MATCH("Total Non Operating Revenue",'Prior YTD Data Pull'!$A$1:$CB$1,0)),"")</f>
        <v>6648000</v>
      </c>
      <c r="AH38" s="38">
        <f>IFERROR(INDEX('Prior YTD Data Pull'!$A$2:$CB$605,MATCH('Prior YTD Data Table'!$C38,'Prior Year Data Pull'!$A$2:$A$593,0),MATCH("Less Accumulated Depreciation",'Prior YTD Data Pull'!$A$1:$CB$1,0)),"")</f>
        <v>0</v>
      </c>
      <c r="AI38" s="38">
        <f>IFERROR(INDEX('Prior YTD Data Pull'!$A$2:$CB$605,MATCH('Prior YTD Data Table'!$C38,'Prior YTD Data Pull'!$A$2:$A$605,0),MATCH("Depreciation and Amortization Expense",'Prior YTD Data Pull'!$A$1:$CB$1,0)),"")</f>
        <v>12733000</v>
      </c>
      <c r="AJ38" s="38">
        <f>IFERROR(INDEX('Prior YTD Data Pull'!$A$2:$CB$605,MATCH('Prior YTD Data Table'!$C38,'Prior YTD Data Pull'!$A$2:$A$605,0),MATCH("Net Patient Accounts Receivable",'Prior YTD Data Pull'!$A$1:$CB$1,0)),"")</f>
        <v>39216000</v>
      </c>
      <c r="AK38" s="14" t="str">
        <f>IF('Prior YTD Data Pull'!$H38 = 6, "183", IF('Prior YTD Data Pull'!$H38 = 3, "93",""))</f>
        <v>183</v>
      </c>
      <c r="AL38" s="38">
        <f>IFERROR(INDEX('Prior YTD Data Pull'!$A$2:$CB$605,MATCH('Prior YTD Data Table'!$C38,'Prior YTD Data Pull'!$A$2:$A$605,0),MATCH("Estimated Third Party Settlements",'Prior YTD Data Pull'!$A$1:$CB$1,0)),"")</f>
        <v>8641000</v>
      </c>
      <c r="AM38" s="38">
        <f>IFERROR(INDEX('Prior YTD Data Pull'!$A$2:$CB$605,MATCH('Prior YTD Data Table'!$C38,'Prior YTD Data Pull'!$A$2:$A$605,0),MATCH("Current Liabilities due to Affiliates",'Prior YTD Data Pull'!$A$1:$CB$1,0)),"")</f>
        <v>48716000</v>
      </c>
      <c r="AN38" s="38">
        <f>IFERROR(INDEX('Prior YTD Data Pull'!$A$2:$CB$605,MATCH('Prior YTD Data Table'!$C38,'Prior YTD Data Pull'!$A$2:$A$605,0),MATCH("Short Term Investments",'Prior YTD Data Pull'!$A$1:$CB$1,0)),"")</f>
        <v>118531000</v>
      </c>
      <c r="AO38" s="38">
        <f>IFERROR(INDEX('Prior YTD Data Pull'!$A$2:$CB$605,MATCH('Prior YTD Data Table'!$C38,'Prior YTD Data Pull'!$A$2:$A$605,0),MATCH("Cash and Cash Equivalents",'Prior YTD Data Pull'!$A$1:$CB$1,0)),"")</f>
        <v>229000</v>
      </c>
      <c r="AP38" s="38">
        <f>IFERROR(INDEX('Prior YTD Data Pull'!$A$2:$CB$605,MATCH('Prior YTD Data Table'!$C38,'Prior YTD Data Pull'!$A$2:$A$605,0),MATCH("Interest Expense",'Prior YTD Data Pull'!$A$1:$CB$1,0)),"")</f>
        <v>1362000</v>
      </c>
      <c r="AQ38" s="38">
        <f>IFERROR(INDEX('Prior YTD Data Pull'!$A$2:$CB$605,MATCH('Prior YTD Data Table'!$C38,'Prior YTD Data Pull'!$A$2:$A$605,0),MATCH("Long Term Debt Net of Current Portion",'Prior YTD Data Pull'!$A$1:$CB$1,0)),"")</f>
        <v>68154000</v>
      </c>
      <c r="AR38" s="38">
        <f>IFERROR(INDEX('Prior YTD Data Pull'!$A$2:$CB$605,MATCH('Prior YTD Data Table'!$C38,'Prior YTD Data Pull'!$A$2:$A$605,0),MATCH("Total Assets",'Prior YTD Data Pull'!$A$1:$CB$1,0)),"")</f>
        <v>431916000</v>
      </c>
      <c r="AS38" s="38">
        <f>IFERROR(INDEX('Prior YTD Data Pull'!$A$2:$CB$605,MATCH('Prior YTD Data Table'!$C38,'Prior YTD Data Pull'!$A$2:$A$605,0),MATCH("Long Term Debt Net of Current Portion",'Prior YTD Data Pull'!$A$1:$CB$1,0)),"")</f>
        <v>68154000</v>
      </c>
      <c r="AT38" s="38">
        <f>IFERROR(INDEX('Prior YTD Data Pull'!$A$2:$CB$605,MATCH('Prior YTD Data Table'!$C38,'Prior YTD Data Pull'!$A$2:$A$605,0),MATCH("Net Unrestricted Assets",'Prior YTD Data Pull'!$A$1:$CB$1,0)),"")</f>
        <v>193767000</v>
      </c>
      <c r="AU38" s="38">
        <f>IFERROR(INDEX('Prior YTD Data Pull'!$A$2:$CB$605,MATCH('Prior YTD Data Table'!$C38,'Prior YTD Data Pull'!$A$2:$A$605,0),MATCH("Unrealized Gains/Losses",'Prior YTD Data Pull'!$A$1:$CB$1,0)),"")</f>
        <v>2710000</v>
      </c>
      <c r="AV38" s="38">
        <f>IFERROR(INDEX('Prior YTD Data Pull'!$A$2:$CB$605,MATCH('Prior YTD Data Table'!$C38,'Prior YTD Data Pull'!$A$2:$A$605,0),MATCH("Salary and Benefit Expense",'Prior YTD Data Pull'!$A$1:$CB$1,0)),"")</f>
        <v>79891000</v>
      </c>
      <c r="AW38" s="38"/>
      <c r="AX38" s="38"/>
      <c r="AY38" s="38"/>
      <c r="AZ38" s="38"/>
    </row>
    <row r="39" spans="1:52" ht="34.200000000000003" x14ac:dyDescent="0.3">
      <c r="A39" s="14" t="str">
        <f>IFERROR(INDEX('Static Data Tab'!$N$2:$N$610,MATCH(D39,'Static Data Tab'!$D$2:$D$610,0)), "")</f>
        <v>Mass General Brigham</v>
      </c>
      <c r="B39" s="14" t="s">
        <v>149</v>
      </c>
      <c r="C39" s="14">
        <v>105</v>
      </c>
      <c r="D39" s="14">
        <v>3791</v>
      </c>
      <c r="E39" s="14" t="str">
        <f>IFERROR(INDEX('Prior YTD Data Pull'!$A$1:$CB$605,MATCH('Prior YTD Data Table'!$C39,'Prior YTD Data Pull'!$A$1:$A$605,0),MATCH("Organization Type",'Prior YTD Data Pull'!$A$1:$CB$1,0)),"")</f>
        <v>AcuteHospital</v>
      </c>
      <c r="F39" s="14" t="str">
        <f>IFERROR(INDEX('Static Data Tab'!$E$2:$E$610,MATCH('Prior YTD Data Table'!$C39,'Static Data Tab'!$B$2:$B$610,0)), "-")</f>
        <v>Community Hospital</v>
      </c>
      <c r="G39" s="46" t="str">
        <f>IFERROR(INDEX('Static Data Tab'!$J$2:$J$610,MATCH('Prior YTD Data Table'!$C39,'Static Data Tab'!$B$2:$B$610,0)), "")</f>
        <v>Metro Boston</v>
      </c>
      <c r="H39" s="14">
        <f>IFERROR(INDEX('Static Data Tab'!$F$2:$F$610,MATCH('Prior YTD Data Table'!$C39,'Static Data Tab'!$B$2:$B$610,0)), "")</f>
        <v>0</v>
      </c>
      <c r="I39" s="14">
        <f>IFERROR(INDEX('Static Data Tab'!$G$2:$G$610,MATCH('Prior YTD Data Table'!$C39,'Static Data Tab'!$B$2:$B$610,0)), "")</f>
        <v>0</v>
      </c>
      <c r="J39" s="14" t="str">
        <f>IFERROR(INDEX('Prior YTD Data Pull'!$A$2:$CB$605,MATCH('Prior YTD Data Table'!$C39,'Prior YTD Data Pull'!$A$2:$A$605,0),MATCH("Quarter Range",'Prior YTD Data Pull'!$A$1:$CB$1,0)),"")</f>
        <v xml:space="preserve">10/01/2024-03/31/2025
</v>
      </c>
      <c r="K39" s="37">
        <f t="shared" si="2"/>
        <v>3.5741678971891906E-2</v>
      </c>
      <c r="L39" s="37">
        <f t="shared" si="3"/>
        <v>-1.1197320156741611E-2</v>
      </c>
      <c r="M39" s="37">
        <f t="shared" si="4"/>
        <v>2.4544358815150297E-2</v>
      </c>
      <c r="N39" s="38">
        <f t="shared" si="5"/>
        <v>9408000</v>
      </c>
      <c r="O39" s="39" t="str">
        <f t="shared" si="6"/>
        <v/>
      </c>
      <c r="P39" s="38">
        <f>IFERROR(INDEX('Prior YTD Data Pull'!$A$2:$CB$605,MATCH('Prior YTD Data Table'!$C39,'Prior YTD Data Pull'!$A$2:$A$605,0),MATCH("Total Net Assets or Equity",'Prior YTD Data Pull'!$A$1:$CB$1,0)),"")</f>
        <v>0</v>
      </c>
      <c r="Q39" s="38">
        <f>IFERROR(INDEX('Prior YTD Data Pull'!$A$2:$CB$605,MATCH('Prior YTD Data Table'!$C39,'Prior YTD Data Pull'!$A$2:$A$605,0),MATCH("Total Operating Revenue",'Prior YTD Data Pull'!$A$1:$CB$1,0)),"")</f>
        <v>387598000</v>
      </c>
      <c r="R39" s="38">
        <f>IFERROR(INDEX('Prior YTD Data Pull'!$A$2:$CB$605,MATCH('Prior YTD Data Table'!$C39,'Prior YTD Data Pull'!$A$2:$A$605,0),MATCH("Total Unrestricted Revenue Gains and Other Support",'Prior YTD Data Pull'!$A$1:$CB$1,0)),"")</f>
        <v>383306000</v>
      </c>
      <c r="S39" s="38">
        <f>IFERROR(INDEX('Prior YTD TS Data Pull'!$J$2:$J$128,MATCH('Prior YTD Data Table'!$C39, 'Prior YTD TS Data Pull'!$A$2:$A$128,0))+INDEX('Prior YTD TS Data Pull'!$N$2:$N$128,MATCH('Prior YTD Data Table'!$C39,'Prior YTD TS Data Pull'!$A$2:$A$609,0))+INDEX('Prior YTD TS Data Pull'!$R$2:$R$128,MATCH('Prior YTD Data Table'!$C39,'Prior YTD TS Data Pull'!$A$2:$A$609,0)),"")</f>
        <v>4789313.13</v>
      </c>
      <c r="T39" s="38">
        <f>IF(INDEX('Prior YTD TS Data Pull'!$A$1:$O$609,MATCH('Prior YTD Data Table'!$C39,'Prior YTD TS Data Pull'!$A$1:$A$609,0),MATCH("Temporary RN Staffing:
Line Reported on in Standardized Financials",'Prior YTD TS Data Pull'!$A$1:$O$1,0))="66.1: Salary and Benefit Expense",'Prior YTD Data Table'!$AV39-'Prior YTD Data Table'!$S39,0)</f>
        <v>0</v>
      </c>
      <c r="U39" s="38">
        <f>IFERROR(INDEX('Prior YTD Data Pull'!$A$2:$CB$605,MATCH('Prior YTD Data Table'!$C39,'Prior YTD Data Pull'!$A$2:$A$605,0),MATCH("Total Expenses Including Nonrecurring Gains Losses",'Prior YTD Data Pull'!$A$1:$CB$1,0)),"")</f>
        <v>373898000</v>
      </c>
      <c r="V39" s="41">
        <f t="shared" si="7"/>
        <v>9.6044316765136326</v>
      </c>
      <c r="W39" s="41">
        <f t="shared" si="8"/>
        <v>0</v>
      </c>
      <c r="X39" s="41">
        <f t="shared" si="0"/>
        <v>0</v>
      </c>
      <c r="Y39" s="37" t="str">
        <f t="shared" si="9"/>
        <v/>
      </c>
      <c r="Z39" s="41">
        <f t="shared" si="1"/>
        <v>0</v>
      </c>
      <c r="AA39" s="39">
        <f t="shared" si="10"/>
        <v>9.4670676691729323</v>
      </c>
      <c r="AB39" s="37" t="str">
        <f t="shared" si="11"/>
        <v/>
      </c>
      <c r="AC39" s="37" t="str">
        <f t="shared" si="12"/>
        <v/>
      </c>
      <c r="AD39" s="38">
        <f>IFERROR(INDEX('Prior YTD Data Pull'!$A$2:$CB$605,MATCH('Prior YTD Data Table'!$C39,'Prior YTD Data Pull'!$A$2:$A$605,0),MATCH("Net Patient Service Revenue",'Prior YTD Data Pull'!$A$1:$CB$1,0)),"")</f>
        <v>368984000</v>
      </c>
      <c r="AE39" s="38">
        <f>IFERROR(INDEX('Prior YTD Data Pull'!$A$2:$CB$605,MATCH('Prior YTD Data Table'!$C39,'Prior YTD Data Pull'!$A$2:$A$605,0),MATCH("Total Current Assets",'Prior YTD Data Pull'!$A$1:$CB$1,0)),"")</f>
        <v>0</v>
      </c>
      <c r="AF39" s="38">
        <f>IFERROR(INDEX('Prior YTD Data Pull'!$A$2:$CB$605,MATCH('Prior YTD Data Table'!$C39,'Prior YTD Data Pull'!$A$2:$A$605,0),MATCH("Total Current Liabilities",'Prior YTD Data Pull'!$A$1:$CB$1,0)),"")</f>
        <v>0</v>
      </c>
      <c r="AG39" s="38">
        <f>IFERROR(INDEX('Prior YTD Data Pull'!$A$2:$CB$605,MATCH('Prior YTD Data Table'!$C39,'Prior YTD Data Pull'!$A$2:$A$605,0),MATCH("Total Non Operating Revenue",'Prior YTD Data Pull'!$A$1:$CB$1,0)),"")</f>
        <v>-4292000</v>
      </c>
      <c r="AH39" s="38">
        <f>IFERROR(INDEX('Prior YTD Data Pull'!$A$2:$CB$605,MATCH('Prior YTD Data Table'!$C39,'Prior Year Data Pull'!$A$2:$A$593,0),MATCH("Less Accumulated Depreciation",'Prior YTD Data Pull'!$A$1:$CB$1,0)),"")</f>
        <v>177192160</v>
      </c>
      <c r="AI39" s="38">
        <f>IFERROR(INDEX('Prior YTD Data Pull'!$A$2:$CB$605,MATCH('Prior YTD Data Table'!$C39,'Prior YTD Data Pull'!$A$2:$A$605,0),MATCH("Depreciation and Amortization Expense",'Prior YTD Data Pull'!$A$1:$CB$1,0)),"")</f>
        <v>18449000</v>
      </c>
      <c r="AJ39" s="38">
        <f>IFERROR(INDEX('Prior YTD Data Pull'!$A$2:$CB$605,MATCH('Prior YTD Data Table'!$C39,'Prior YTD Data Pull'!$A$2:$A$605,0),MATCH("Net Patient Accounts Receivable",'Prior YTD Data Pull'!$A$1:$CB$1,0)),"")</f>
        <v>0</v>
      </c>
      <c r="AK39" s="14" t="str">
        <f>IF('Prior YTD Data Pull'!$H39 = 6, "183", IF('Prior YTD Data Pull'!$H39 = 3, "93",""))</f>
        <v>93</v>
      </c>
      <c r="AL39" s="38">
        <f>IFERROR(INDEX('Prior YTD Data Pull'!$A$2:$CB$605,MATCH('Prior YTD Data Table'!$C39,'Prior YTD Data Pull'!$A$2:$A$605,0),MATCH("Estimated Third Party Settlements",'Prior YTD Data Pull'!$A$1:$CB$1,0)),"")</f>
        <v>0</v>
      </c>
      <c r="AM39" s="38">
        <f>IFERROR(INDEX('Prior YTD Data Pull'!$A$2:$CB$605,MATCH('Prior YTD Data Table'!$C39,'Prior YTD Data Pull'!$A$2:$A$605,0),MATCH("Current Liabilities due to Affiliates",'Prior YTD Data Pull'!$A$1:$CB$1,0)),"")</f>
        <v>0</v>
      </c>
      <c r="AN39" s="38">
        <f>IFERROR(INDEX('Prior YTD Data Pull'!$A$2:$CB$605,MATCH('Prior YTD Data Table'!$C39,'Prior YTD Data Pull'!$A$2:$A$605,0),MATCH("Short Term Investments",'Prior YTD Data Pull'!$A$1:$CB$1,0)),"")</f>
        <v>0</v>
      </c>
      <c r="AO39" s="38">
        <f>IFERROR(INDEX('Prior YTD Data Pull'!$A$2:$CB$605,MATCH('Prior YTD Data Table'!$C39,'Prior YTD Data Pull'!$A$2:$A$605,0),MATCH("Cash and Cash Equivalents",'Prior YTD Data Pull'!$A$1:$CB$1,0)),"")</f>
        <v>0</v>
      </c>
      <c r="AP39" s="38">
        <f>IFERROR(INDEX('Prior YTD Data Pull'!$A$2:$CB$605,MATCH('Prior YTD Data Table'!$C39,'Prior YTD Data Pull'!$A$2:$A$605,0),MATCH("Interest Expense",'Prior YTD Data Pull'!$A$1:$CB$1,0)),"")</f>
        <v>3325000</v>
      </c>
      <c r="AQ39" s="38">
        <f>IFERROR(INDEX('Prior YTD Data Pull'!$A$2:$CB$605,MATCH('Prior YTD Data Table'!$C39,'Prior YTD Data Pull'!$A$2:$A$605,0),MATCH("Long Term Debt Net of Current Portion",'Prior YTD Data Pull'!$A$1:$CB$1,0)),"")</f>
        <v>0</v>
      </c>
      <c r="AR39" s="38">
        <f>IFERROR(INDEX('Prior YTD Data Pull'!$A$2:$CB$605,MATCH('Prior YTD Data Table'!$C39,'Prior YTD Data Pull'!$A$2:$A$605,0),MATCH("Total Assets",'Prior YTD Data Pull'!$A$1:$CB$1,0)),"")</f>
        <v>0</v>
      </c>
      <c r="AS39" s="38">
        <f>IFERROR(INDEX('Prior YTD Data Pull'!$A$2:$CB$605,MATCH('Prior YTD Data Table'!$C39,'Prior YTD Data Pull'!$A$2:$A$605,0),MATCH("Long Term Debt Net of Current Portion",'Prior YTD Data Pull'!$A$1:$CB$1,0)),"")</f>
        <v>0</v>
      </c>
      <c r="AT39" s="38">
        <f>IFERROR(INDEX('Prior YTD Data Pull'!$A$2:$CB$605,MATCH('Prior YTD Data Table'!$C39,'Prior YTD Data Pull'!$A$2:$A$605,0),MATCH("Net Unrestricted Assets",'Prior YTD Data Pull'!$A$1:$CB$1,0)),"")</f>
        <v>0</v>
      </c>
      <c r="AU39" s="38">
        <f>IFERROR(INDEX('Prior YTD Data Pull'!$A$2:$CB$605,MATCH('Prior YTD Data Table'!$C39,'Prior YTD Data Pull'!$A$2:$A$605,0),MATCH("Unrealized Gains/Losses",'Prior YTD Data Pull'!$A$1:$CB$1,0)),"")</f>
        <v>-296000</v>
      </c>
      <c r="AV39" s="38">
        <f>IFERROR(INDEX('Prior YTD Data Pull'!$A$2:$CB$605,MATCH('Prior YTD Data Table'!$C39,'Prior YTD Data Pull'!$A$2:$A$605,0),MATCH("Salary and Benefit Expense",'Prior YTD Data Pull'!$A$1:$CB$1,0)),"")</f>
        <v>194967000</v>
      </c>
      <c r="AW39" s="47"/>
      <c r="AX39" s="47"/>
      <c r="AY39" s="47"/>
      <c r="AZ39" s="47"/>
    </row>
    <row r="40" spans="1:52" ht="34.200000000000003" x14ac:dyDescent="0.3">
      <c r="A40" s="14" t="str">
        <f>IFERROR(INDEX('Static Data Tab'!$N$2:$N$610,MATCH(D40,'Static Data Tab'!$D$2:$D$610,0)), "")</f>
        <v>Beth Israel Lahey Health</v>
      </c>
      <c r="B40" s="14" t="s">
        <v>98</v>
      </c>
      <c r="C40" s="14">
        <v>103</v>
      </c>
      <c r="D40" s="14">
        <v>16665</v>
      </c>
      <c r="E40" s="14" t="str">
        <f>IFERROR(INDEX('Prior YTD Data Pull'!$A$1:$CB$605,MATCH('Prior YTD Data Table'!$C40,'Prior YTD Data Pull'!$A$1:$A$605,0),MATCH("Organization Type",'Prior YTD Data Pull'!$A$1:$CB$1,0)),"")</f>
        <v>AcuteHospital</v>
      </c>
      <c r="F40" s="14" t="str">
        <f>IFERROR(INDEX('Static Data Tab'!$E$2:$E$610,MATCH('Prior YTD Data Table'!$C40,'Static Data Tab'!$B$2:$B$610,0)), "-")</f>
        <v>Specialty Hospital</v>
      </c>
      <c r="G40" s="46" t="str">
        <f>IFERROR(INDEX('Static Data Tab'!$J$2:$J$610,MATCH('Prior YTD Data Table'!$C40,'Static Data Tab'!$B$2:$B$610,0)), "")</f>
        <v>Metro Boston</v>
      </c>
      <c r="H40" s="14">
        <f>IFERROR(INDEX('Static Data Tab'!$F$2:$F$610,MATCH('Prior YTD Data Table'!$C40,'Static Data Tab'!$B$2:$B$610,0)), "")</f>
        <v>0</v>
      </c>
      <c r="I40" s="14">
        <f>IFERROR(INDEX('Static Data Tab'!$G$2:$G$610,MATCH('Prior YTD Data Table'!$C40,'Static Data Tab'!$B$2:$B$610,0)), "")</f>
        <v>0</v>
      </c>
      <c r="J40" s="14" t="str">
        <f>IFERROR(INDEX('Prior YTD Data Pull'!$A$2:$CB$605,MATCH('Prior YTD Data Table'!$C40,'Prior YTD Data Pull'!$A$2:$A$605,0),MATCH("Quarter Range",'Prior YTD Data Pull'!$A$1:$CB$1,0)),"")</f>
        <v xml:space="preserve">10/01/2024-03/31/2025
</v>
      </c>
      <c r="K40" s="37">
        <f t="shared" si="2"/>
        <v>-8.7949960490113013E-2</v>
      </c>
      <c r="L40" s="37">
        <f t="shared" si="3"/>
        <v>1.8231670744594763E-2</v>
      </c>
      <c r="M40" s="37">
        <f t="shared" si="4"/>
        <v>-6.9718289745518247E-2</v>
      </c>
      <c r="N40" s="38">
        <f t="shared" si="5"/>
        <v>-7323000</v>
      </c>
      <c r="O40" s="39">
        <f t="shared" si="6"/>
        <v>3.51406829691012</v>
      </c>
      <c r="P40" s="38">
        <f>IFERROR(INDEX('Prior YTD Data Pull'!$A$2:$CB$605,MATCH('Prior YTD Data Table'!$C40,'Prior YTD Data Pull'!$A$2:$A$605,0),MATCH("Total Net Assets or Equity",'Prior YTD Data Pull'!$A$1:$CB$1,0)),"")</f>
        <v>173432000</v>
      </c>
      <c r="Q40" s="38">
        <f>IFERROR(INDEX('Prior YTD Data Pull'!$A$2:$CB$605,MATCH('Prior YTD Data Table'!$C40,'Prior YTD Data Pull'!$A$2:$A$605,0),MATCH("Total Operating Revenue",'Prior YTD Data Pull'!$A$1:$CB$1,0)),"")</f>
        <v>103122000</v>
      </c>
      <c r="R40" s="38">
        <f>IFERROR(INDEX('Prior YTD Data Pull'!$A$2:$CB$605,MATCH('Prior YTD Data Table'!$C40,'Prior YTD Data Pull'!$A$2:$A$605,0),MATCH("Total Unrestricted Revenue Gains and Other Support",'Prior YTD Data Pull'!$A$1:$CB$1,0)),"")</f>
        <v>105037000</v>
      </c>
      <c r="S40" s="38">
        <f>IFERROR(INDEX('Prior YTD TS Data Pull'!$J$2:$J$128,MATCH('Prior YTD Data Table'!$C40, 'Prior YTD TS Data Pull'!$A$2:$A$128,0))+INDEX('Prior YTD TS Data Pull'!$N$2:$N$128,MATCH('Prior YTD Data Table'!$C40,'Prior YTD TS Data Pull'!$A$2:$A$609,0))+INDEX('Prior YTD TS Data Pull'!$R$2:$R$128,MATCH('Prior YTD Data Table'!$C40,'Prior YTD TS Data Pull'!$A$2:$A$609,0)),"")</f>
        <v>102867</v>
      </c>
      <c r="T40" s="38">
        <f>IF(INDEX('Prior YTD TS Data Pull'!$A$1:$O$609,MATCH('Prior YTD Data Table'!$C40,'Prior YTD TS Data Pull'!$A$1:$A$609,0),MATCH("Temporary RN Staffing:
Line Reported on in Standardized Financials",'Prior YTD TS Data Pull'!$A$1:$O$1,0))="66.1: Salary and Benefit Expense",'Prior YTD Data Table'!$AV40-'Prior YTD Data Table'!$S40,0)</f>
        <v>41506133</v>
      </c>
      <c r="U40" s="38">
        <f>IFERROR(INDEX('Prior YTD Data Pull'!$A$2:$CB$605,MATCH('Prior YTD Data Table'!$C40,'Prior YTD Data Pull'!$A$2:$A$605,0),MATCH("Total Expenses Including Nonrecurring Gains Losses",'Prior YTD Data Pull'!$A$1:$CB$1,0)),"")</f>
        <v>112360000</v>
      </c>
      <c r="V40" s="41">
        <f t="shared" si="7"/>
        <v>86.497826422917456</v>
      </c>
      <c r="W40" s="41">
        <f t="shared" si="8"/>
        <v>39.118918259635429</v>
      </c>
      <c r="X40" s="41">
        <f t="shared" si="0"/>
        <v>53.453490761671681</v>
      </c>
      <c r="Y40" s="37">
        <f t="shared" si="9"/>
        <v>-7.1561916614810206E-2</v>
      </c>
      <c r="Z40" s="41">
        <f t="shared" si="1"/>
        <v>143.90561772563382</v>
      </c>
      <c r="AA40" s="39">
        <f t="shared" si="10"/>
        <v>-5.2299231043438407E-2</v>
      </c>
      <c r="AB40" s="37">
        <f t="shared" si="11"/>
        <v>0.63178524722142282</v>
      </c>
      <c r="AC40" s="37">
        <f t="shared" si="12"/>
        <v>0.21952302350731401</v>
      </c>
      <c r="AD40" s="38">
        <f>IFERROR(INDEX('Prior YTD Data Pull'!$A$2:$CB$605,MATCH('Prior YTD Data Table'!$C40,'Prior YTD Data Pull'!$A$2:$A$605,0),MATCH("Net Patient Service Revenue",'Prior YTD Data Pull'!$A$1:$CB$1,0)),"")</f>
        <v>90188000</v>
      </c>
      <c r="AE40" s="38">
        <f>IFERROR(INDEX('Prior YTD Data Pull'!$A$2:$CB$605,MATCH('Prior YTD Data Table'!$C40,'Prior YTD Data Pull'!$A$2:$A$605,0),MATCH("Total Current Assets",'Prior YTD Data Pull'!$A$1:$CB$1,0)),"")</f>
        <v>129764000</v>
      </c>
      <c r="AF40" s="38">
        <f>IFERROR(INDEX('Prior YTD Data Pull'!$A$2:$CB$605,MATCH('Prior YTD Data Table'!$C40,'Prior YTD Data Pull'!$A$2:$A$605,0),MATCH("Total Current Liabilities",'Prior YTD Data Pull'!$A$1:$CB$1,0)),"")</f>
        <v>36927000</v>
      </c>
      <c r="AG40" s="38">
        <f>IFERROR(INDEX('Prior YTD Data Pull'!$A$2:$CB$605,MATCH('Prior YTD Data Table'!$C40,'Prior YTD Data Pull'!$A$2:$A$605,0),MATCH("Total Non Operating Revenue",'Prior YTD Data Pull'!$A$1:$CB$1,0)),"")</f>
        <v>1915000</v>
      </c>
      <c r="AH40" s="38">
        <f>IFERROR(INDEX('Prior YTD Data Pull'!$A$2:$CB$605,MATCH('Prior YTD Data Table'!$C40,'Prior Year Data Pull'!$A$2:$A$593,0),MATCH("Less Accumulated Depreciation",'Prior YTD Data Pull'!$A$1:$CB$1,0)),"")</f>
        <v>458957467</v>
      </c>
      <c r="AI40" s="38">
        <f>IFERROR(INDEX('Prior YTD Data Pull'!$A$2:$CB$605,MATCH('Prior YTD Data Table'!$C40,'Prior YTD Data Pull'!$A$2:$A$605,0),MATCH("Depreciation and Amortization Expense",'Prior YTD Data Pull'!$A$1:$CB$1,0)),"")</f>
        <v>5306000</v>
      </c>
      <c r="AJ40" s="38">
        <f>IFERROR(INDEX('Prior YTD Data Pull'!$A$2:$CB$605,MATCH('Prior YTD Data Table'!$C40,'Prior YTD Data Pull'!$A$2:$A$605,0),MATCH("Net Patient Accounts Receivable",'Prior YTD Data Pull'!$A$1:$CB$1,0)),"")</f>
        <v>19279000</v>
      </c>
      <c r="AK40" s="14" t="str">
        <f>IF('Prior YTD Data Pull'!$H40 = 6, "183", IF('Prior YTD Data Pull'!$H40 = 3, "93",""))</f>
        <v>183</v>
      </c>
      <c r="AL40" s="38">
        <f>IFERROR(INDEX('Prior YTD Data Pull'!$A$2:$CB$605,MATCH('Prior YTD Data Table'!$C40,'Prior YTD Data Pull'!$A$2:$A$605,0),MATCH("Estimated Third Party Settlements",'Prior YTD Data Pull'!$A$1:$CB$1,0)),"")</f>
        <v>5657000</v>
      </c>
      <c r="AM40" s="38">
        <f>IFERROR(INDEX('Prior YTD Data Pull'!$A$2:$CB$605,MATCH('Prior YTD Data Table'!$C40,'Prior YTD Data Pull'!$A$2:$A$605,0),MATCH("Current Liabilities due to Affiliates",'Prior YTD Data Pull'!$A$1:$CB$1,0)),"")</f>
        <v>0</v>
      </c>
      <c r="AN40" s="38">
        <f>IFERROR(INDEX('Prior YTD Data Pull'!$A$2:$CB$605,MATCH('Prior YTD Data Table'!$C40,'Prior YTD Data Pull'!$A$2:$A$605,0),MATCH("Short Term Investments",'Prior YTD Data Pull'!$A$1:$CB$1,0)),"")</f>
        <v>84277000</v>
      </c>
      <c r="AO40" s="38">
        <f>IFERROR(INDEX('Prior YTD Data Pull'!$A$2:$CB$605,MATCH('Prior YTD Data Table'!$C40,'Prior YTD Data Pull'!$A$2:$A$605,0),MATCH("Cash and Cash Equivalents",'Prior YTD Data Pull'!$A$1:$CB$1,0)),"")</f>
        <v>-93000</v>
      </c>
      <c r="AP40" s="38">
        <f>IFERROR(INDEX('Prior YTD Data Pull'!$A$2:$CB$605,MATCH('Prior YTD Data Table'!$C40,'Prior YTD Data Pull'!$A$2:$A$605,0),MATCH("Interest Expense",'Prior YTD Data Pull'!$A$1:$CB$1,0)),"")</f>
        <v>706000</v>
      </c>
      <c r="AQ40" s="38">
        <f>IFERROR(INDEX('Prior YTD Data Pull'!$A$2:$CB$605,MATCH('Prior YTD Data Table'!$C40,'Prior YTD Data Pull'!$A$2:$A$605,0),MATCH("Long Term Debt Net of Current Portion",'Prior YTD Data Pull'!$A$1:$CB$1,0)),"")</f>
        <v>38568000</v>
      </c>
      <c r="AR40" s="38">
        <f>IFERROR(INDEX('Prior YTD Data Pull'!$A$2:$CB$605,MATCH('Prior YTD Data Table'!$C40,'Prior YTD Data Pull'!$A$2:$A$605,0),MATCH("Total Assets",'Prior YTD Data Pull'!$A$1:$CB$1,0)),"")</f>
        <v>274511000</v>
      </c>
      <c r="AS40" s="38">
        <f>IFERROR(INDEX('Prior YTD Data Pull'!$A$2:$CB$605,MATCH('Prior YTD Data Table'!$C40,'Prior YTD Data Pull'!$A$2:$A$605,0),MATCH("Long Term Debt Net of Current Portion",'Prior YTD Data Pull'!$A$1:$CB$1,0)),"")</f>
        <v>38568000</v>
      </c>
      <c r="AT40" s="38">
        <f>IFERROR(INDEX('Prior YTD Data Pull'!$A$2:$CB$605,MATCH('Prior YTD Data Table'!$C40,'Prior YTD Data Pull'!$A$2:$A$605,0),MATCH("Net Unrestricted Assets",'Prior YTD Data Pull'!$A$1:$CB$1,0)),"")</f>
        <v>137122000</v>
      </c>
      <c r="AU40" s="38">
        <f>IFERROR(INDEX('Prior YTD Data Pull'!$A$2:$CB$605,MATCH('Prior YTD Data Table'!$C40,'Prior YTD Data Pull'!$A$2:$A$605,0),MATCH("Unrealized Gains/Losses",'Prior YTD Data Pull'!$A$1:$CB$1,0)),"")</f>
        <v>743000</v>
      </c>
      <c r="AV40" s="38">
        <f>IFERROR(INDEX('Prior YTD Data Pull'!$A$2:$CB$605,MATCH('Prior YTD Data Table'!$C40,'Prior YTD Data Pull'!$A$2:$A$605,0),MATCH("Salary and Benefit Expense",'Prior YTD Data Pull'!$A$1:$CB$1,0)),"")</f>
        <v>41609000</v>
      </c>
      <c r="AW40" s="38"/>
      <c r="AX40" s="38"/>
      <c r="AY40" s="38"/>
      <c r="AZ40" s="38"/>
    </row>
    <row r="41" spans="1:52" ht="34.200000000000003" x14ac:dyDescent="0.3">
      <c r="A41" s="14" t="str">
        <f>IFERROR(INDEX('Static Data Tab'!$N$2:$N$610,MATCH(D41,'Static Data Tab'!$D$2:$D$610,0)), "")</f>
        <v>Mass General Brigham</v>
      </c>
      <c r="B41" s="57" t="s">
        <v>144</v>
      </c>
      <c r="C41" s="57">
        <v>50</v>
      </c>
      <c r="D41" s="57">
        <v>3791</v>
      </c>
      <c r="E41" s="14" t="str">
        <f>IFERROR(INDEX('Prior YTD Data Pull'!$A$1:$CB$605,MATCH('Prior YTD Data Table'!$C41,'Prior YTD Data Pull'!$A$1:$A$605,0),MATCH("Organization Type",'Prior YTD Data Pull'!$A$1:$CB$1,0)),"")</f>
        <v>AcuteHospital</v>
      </c>
      <c r="F41" s="14" t="str">
        <f>IFERROR(INDEX('Static Data Tab'!$E$2:$E$610,MATCH('Prior YTD Data Table'!$C41,'Static Data Tab'!$B$2:$B$610,0)), "-")</f>
        <v>Community-High Public Payer Hospital</v>
      </c>
      <c r="G41" s="46" t="str">
        <f>IFERROR(INDEX('Static Data Tab'!$J$2:$J$610,MATCH('Prior YTD Data Table'!$C41,'Static Data Tab'!$B$2:$B$610,0)), "")</f>
        <v>Western Massachusetts</v>
      </c>
      <c r="H41" s="14" t="str">
        <f>IFERROR(INDEX('Static Data Tab'!$F$2:$F$610,MATCH('Prior YTD Data Table'!$C41,'Static Data Tab'!$B$2:$B$610,0)), "")</f>
        <v>x</v>
      </c>
      <c r="I41" s="14">
        <f>IFERROR(INDEX('Static Data Tab'!$G$2:$G$610,MATCH('Prior YTD Data Table'!$C41,'Static Data Tab'!$B$2:$B$610,0)), "")</f>
        <v>0</v>
      </c>
      <c r="J41" s="14" t="str">
        <f>IFERROR(INDEX('Prior YTD Data Pull'!$A$2:$CB$605,MATCH('Prior YTD Data Table'!$C41,'Prior YTD Data Pull'!$A$2:$A$605,0),MATCH("Quarter Range",'Prior YTD Data Pull'!$A$1:$CB$1,0)),"")</f>
        <v xml:space="preserve">10/01/2024-03/31/2025
</v>
      </c>
      <c r="K41" s="37">
        <f t="shared" si="2"/>
        <v>5.9219390046406556E-2</v>
      </c>
      <c r="L41" s="37">
        <f t="shared" si="3"/>
        <v>-1.9773819082483907E-2</v>
      </c>
      <c r="M41" s="37">
        <f t="shared" si="4"/>
        <v>3.9445570963922649E-2</v>
      </c>
      <c r="N41" s="38">
        <f t="shared" si="5"/>
        <v>5797000</v>
      </c>
      <c r="O41" s="39" t="str">
        <f t="shared" si="6"/>
        <v/>
      </c>
      <c r="P41" s="38">
        <f>IFERROR(INDEX('Prior YTD Data Pull'!$A$2:$CB$605,MATCH('Prior YTD Data Table'!$C41,'Prior YTD Data Pull'!$A$2:$A$605,0),MATCH("Total Net Assets or Equity",'Prior YTD Data Pull'!$A$1:$CB$1,0)),"")</f>
        <v>0</v>
      </c>
      <c r="Q41" s="38">
        <f>IFERROR(INDEX('Prior YTD Data Pull'!$A$2:$CB$605,MATCH('Prior YTD Data Table'!$C41,'Prior YTD Data Pull'!$A$2:$A$605,0),MATCH("Total Operating Revenue",'Prior YTD Data Pull'!$A$1:$CB$1,0)),"")</f>
        <v>149868000</v>
      </c>
      <c r="R41" s="38">
        <f>IFERROR(INDEX('Prior YTD Data Pull'!$A$2:$CB$605,MATCH('Prior YTD Data Table'!$C41,'Prior YTD Data Pull'!$A$2:$A$605,0),MATCH("Total Unrestricted Revenue Gains and Other Support",'Prior YTD Data Pull'!$A$1:$CB$1,0)),"")</f>
        <v>146962000</v>
      </c>
      <c r="S41" s="38">
        <f>IFERROR(INDEX('Prior YTD TS Data Pull'!$J$2:$J$128,MATCH('Prior YTD Data Table'!$C41, 'Prior YTD TS Data Pull'!$A$2:$A$128,0))+INDEX('Prior YTD TS Data Pull'!$N$2:$N$128,MATCH('Prior YTD Data Table'!$C41,'Prior YTD TS Data Pull'!$A$2:$A$609,0))+INDEX('Prior YTD TS Data Pull'!$R$2:$R$128,MATCH('Prior YTD Data Table'!$C41,'Prior YTD TS Data Pull'!$A$2:$A$609,0)),"")</f>
        <v>2475344.0916391099</v>
      </c>
      <c r="T41" s="38">
        <f>IF(INDEX('Prior YTD TS Data Pull'!$A$1:$O$609,MATCH('Prior YTD Data Table'!$C41,'Prior YTD TS Data Pull'!$A$1:$A$609,0),MATCH("Temporary RN Staffing:
Line Reported on in Standardized Financials",'Prior YTD TS Data Pull'!$A$1:$O$1,0))="66.1: Salary and Benefit Expense",'Prior YTD Data Table'!$AV41-'Prior YTD Data Table'!$S41,0)</f>
        <v>0</v>
      </c>
      <c r="U41" s="38">
        <f>IFERROR(INDEX('Prior YTD Data Pull'!$A$2:$CB$605,MATCH('Prior YTD Data Table'!$C41,'Prior YTD Data Pull'!$A$2:$A$605,0),MATCH("Total Expenses Including Nonrecurring Gains Losses",'Prior YTD Data Pull'!$A$1:$CB$1,0)),"")</f>
        <v>141165000</v>
      </c>
      <c r="V41" s="41">
        <f t="shared" si="7"/>
        <v>35.34965877157768</v>
      </c>
      <c r="W41" s="41">
        <f t="shared" si="8"/>
        <v>0</v>
      </c>
      <c r="X41" s="41">
        <f t="shared" si="0"/>
        <v>0</v>
      </c>
      <c r="Y41" s="37" t="str">
        <f t="shared" si="9"/>
        <v/>
      </c>
      <c r="Z41" s="41">
        <f t="shared" si="1"/>
        <v>0</v>
      </c>
      <c r="AA41" s="39">
        <f t="shared" si="10"/>
        <v>20.557168784029038</v>
      </c>
      <c r="AB41" s="37" t="str">
        <f t="shared" si="11"/>
        <v/>
      </c>
      <c r="AC41" s="37" t="str">
        <f t="shared" si="12"/>
        <v/>
      </c>
      <c r="AD41" s="38">
        <f>IFERROR(INDEX('Prior YTD Data Pull'!$A$2:$CB$605,MATCH('Prior YTD Data Table'!$C41,'Prior YTD Data Pull'!$A$2:$A$605,0),MATCH("Net Patient Service Revenue",'Prior YTD Data Pull'!$A$1:$CB$1,0)),"")</f>
        <v>147093000</v>
      </c>
      <c r="AE41" s="38">
        <f>IFERROR(INDEX('Prior YTD Data Pull'!$A$2:$CB$605,MATCH('Prior YTD Data Table'!$C41,'Prior YTD Data Pull'!$A$2:$A$605,0),MATCH("Total Current Assets",'Prior YTD Data Pull'!$A$1:$CB$1,0)),"")</f>
        <v>0</v>
      </c>
      <c r="AF41" s="38">
        <f>IFERROR(INDEX('Prior YTD Data Pull'!$A$2:$CB$605,MATCH('Prior YTD Data Table'!$C41,'Prior YTD Data Pull'!$A$2:$A$605,0),MATCH("Total Current Liabilities",'Prior YTD Data Pull'!$A$1:$CB$1,0)),"")</f>
        <v>0</v>
      </c>
      <c r="AG41" s="38">
        <f>IFERROR(INDEX('Prior YTD Data Pull'!$A$2:$CB$605,MATCH('Prior YTD Data Table'!$C41,'Prior YTD Data Pull'!$A$2:$A$605,0),MATCH("Total Non Operating Revenue",'Prior YTD Data Pull'!$A$1:$CB$1,0)),"")</f>
        <v>-2906000</v>
      </c>
      <c r="AH41" s="38">
        <f>IFERROR(INDEX('Prior YTD Data Pull'!$A$2:$CB$605,MATCH('Prior YTD Data Table'!$C41,'Prior Year Data Pull'!$A$2:$A$593,0),MATCH("Less Accumulated Depreciation",'Prior YTD Data Pull'!$A$1:$CB$1,0)),"")</f>
        <v>176112000</v>
      </c>
      <c r="AI41" s="38">
        <f>IFERROR(INDEX('Prior YTD Data Pull'!$A$2:$CB$605,MATCH('Prior YTD Data Table'!$C41,'Prior YTD Data Pull'!$A$2:$A$605,0),MATCH("Depreciation and Amortization Expense",'Prior YTD Data Pull'!$A$1:$CB$1,0)),"")</f>
        <v>4982000</v>
      </c>
      <c r="AJ41" s="38">
        <f>IFERROR(INDEX('Prior YTD Data Pull'!$A$2:$CB$605,MATCH('Prior YTD Data Table'!$C41,'Prior YTD Data Pull'!$A$2:$A$605,0),MATCH("Net Patient Accounts Receivable",'Prior YTD Data Pull'!$A$1:$CB$1,0)),"")</f>
        <v>0</v>
      </c>
      <c r="AK41" s="14" t="str">
        <f>IF('Prior YTD Data Pull'!$H41 = 6, "183", IF('Prior YTD Data Pull'!$H41 = 3, "93",""))</f>
        <v>183</v>
      </c>
      <c r="AL41" s="38">
        <f>IFERROR(INDEX('Prior YTD Data Pull'!$A$2:$CB$605,MATCH('Prior YTD Data Table'!$C41,'Prior YTD Data Pull'!$A$2:$A$605,0),MATCH("Estimated Third Party Settlements",'Prior YTD Data Pull'!$A$1:$CB$1,0)),"")</f>
        <v>0</v>
      </c>
      <c r="AM41" s="38">
        <f>IFERROR(INDEX('Prior YTD Data Pull'!$A$2:$CB$605,MATCH('Prior YTD Data Table'!$C41,'Prior YTD Data Pull'!$A$2:$A$605,0),MATCH("Current Liabilities due to Affiliates",'Prior YTD Data Pull'!$A$1:$CB$1,0)),"")</f>
        <v>0</v>
      </c>
      <c r="AN41" s="38">
        <f>IFERROR(INDEX('Prior YTD Data Pull'!$A$2:$CB$605,MATCH('Prior YTD Data Table'!$C41,'Prior YTD Data Pull'!$A$2:$A$605,0),MATCH("Short Term Investments",'Prior YTD Data Pull'!$A$1:$CB$1,0)),"")</f>
        <v>0</v>
      </c>
      <c r="AO41" s="38">
        <f>IFERROR(INDEX('Prior YTD Data Pull'!$A$2:$CB$605,MATCH('Prior YTD Data Table'!$C41,'Prior YTD Data Pull'!$A$2:$A$605,0),MATCH("Cash and Cash Equivalents",'Prior YTD Data Pull'!$A$1:$CB$1,0)),"")</f>
        <v>0</v>
      </c>
      <c r="AP41" s="38">
        <f>IFERROR(INDEX('Prior YTD Data Pull'!$A$2:$CB$605,MATCH('Prior YTD Data Table'!$C41,'Prior YTD Data Pull'!$A$2:$A$605,0),MATCH("Interest Expense",'Prior YTD Data Pull'!$A$1:$CB$1,0)),"")</f>
        <v>551000</v>
      </c>
      <c r="AQ41" s="38">
        <f>IFERROR(INDEX('Prior YTD Data Pull'!$A$2:$CB$605,MATCH('Prior YTD Data Table'!$C41,'Prior YTD Data Pull'!$A$2:$A$605,0),MATCH("Long Term Debt Net of Current Portion",'Prior YTD Data Pull'!$A$1:$CB$1,0)),"")</f>
        <v>0</v>
      </c>
      <c r="AR41" s="38">
        <f>IFERROR(INDEX('Prior YTD Data Pull'!$A$2:$CB$605,MATCH('Prior YTD Data Table'!$C41,'Prior YTD Data Pull'!$A$2:$A$605,0),MATCH("Total Assets",'Prior YTD Data Pull'!$A$1:$CB$1,0)),"")</f>
        <v>0</v>
      </c>
      <c r="AS41" s="38">
        <f>IFERROR(INDEX('Prior YTD Data Pull'!$A$2:$CB$605,MATCH('Prior YTD Data Table'!$C41,'Prior YTD Data Pull'!$A$2:$A$605,0),MATCH("Long Term Debt Net of Current Portion",'Prior YTD Data Pull'!$A$1:$CB$1,0)),"")</f>
        <v>0</v>
      </c>
      <c r="AT41" s="38">
        <f>IFERROR(INDEX('Prior YTD Data Pull'!$A$2:$CB$605,MATCH('Prior YTD Data Table'!$C41,'Prior YTD Data Pull'!$A$2:$A$605,0),MATCH("Net Unrestricted Assets",'Prior YTD Data Pull'!$A$1:$CB$1,0)),"")</f>
        <v>0</v>
      </c>
      <c r="AU41" s="38">
        <f>IFERROR(INDEX('Prior YTD Data Pull'!$A$2:$CB$605,MATCH('Prior YTD Data Table'!$C41,'Prior YTD Data Pull'!$A$2:$A$605,0),MATCH("Unrealized Gains/Losses",'Prior YTD Data Pull'!$A$1:$CB$1,0)),"")</f>
        <v>3000</v>
      </c>
      <c r="AV41" s="38">
        <f>IFERROR(INDEX('Prior YTD Data Pull'!$A$2:$CB$605,MATCH('Prior YTD Data Table'!$C41,'Prior YTD Data Pull'!$A$2:$A$605,0),MATCH("Salary and Benefit Expense",'Prior YTD Data Pull'!$A$1:$CB$1,0)),"")</f>
        <v>65737000</v>
      </c>
      <c r="AW41" s="47"/>
      <c r="AX41" s="47"/>
      <c r="AY41" s="47"/>
      <c r="AZ41" s="47"/>
    </row>
    <row r="42" spans="1:52" ht="34.200000000000003" x14ac:dyDescent="0.3">
      <c r="A42" s="14" t="str">
        <f>IFERROR(INDEX('Static Data Tab'!$N$2:$N$610,MATCH(D42,'Static Data Tab'!$D$2:$D$610,0)), "")</f>
        <v>Beth Israel Lahey Health</v>
      </c>
      <c r="B42" s="57" t="s">
        <v>96</v>
      </c>
      <c r="C42" s="57">
        <v>6546</v>
      </c>
      <c r="D42" s="57">
        <v>16665</v>
      </c>
      <c r="E42" s="14" t="str">
        <f>IFERROR(INDEX('Prior YTD Data Pull'!$A$1:$CB$605,MATCH('Prior YTD Data Table'!$C42,'Prior YTD Data Pull'!$A$1:$A$605,0),MATCH("Organization Type",'Prior YTD Data Pull'!$A$1:$CB$1,0)),"")</f>
        <v>AcuteHospital</v>
      </c>
      <c r="F42" s="14" t="str">
        <f>IFERROR(INDEX('Static Data Tab'!$E$2:$E$610,MATCH('Prior YTD Data Table'!$C42,'Static Data Tab'!$B$2:$B$610,0)), "-")</f>
        <v>Teaching Hospital</v>
      </c>
      <c r="G42" s="46" t="str">
        <f>IFERROR(INDEX('Static Data Tab'!$J$2:$J$610,MATCH('Prior YTD Data Table'!$C42,'Static Data Tab'!$B$2:$B$610,0)), "")</f>
        <v>Northeastern Massachusetts</v>
      </c>
      <c r="H42" s="14">
        <f>IFERROR(INDEX('Static Data Tab'!$F$2:$F$610,MATCH('Prior YTD Data Table'!$C42,'Static Data Tab'!$B$2:$B$610,0)), "")</f>
        <v>0</v>
      </c>
      <c r="I42" s="14" t="str">
        <f>IFERROR(INDEX('Static Data Tab'!$G$2:$G$610,MATCH('Prior YTD Data Table'!$C42,'Static Data Tab'!$B$2:$B$610,0)), "")</f>
        <v>x</v>
      </c>
      <c r="J42" s="14" t="str">
        <f>IFERROR(INDEX('Prior YTD Data Pull'!$A$2:$CB$605,MATCH('Prior YTD Data Table'!$C42,'Prior YTD Data Pull'!$A$2:$A$605,0),MATCH("Quarter Range",'Prior YTD Data Pull'!$A$1:$CB$1,0)),"")</f>
        <v xml:space="preserve">10/01/2024-03/31/2025
</v>
      </c>
      <c r="K42" s="37">
        <f t="shared" si="2"/>
        <v>0.12395870564349284</v>
      </c>
      <c r="L42" s="37">
        <f t="shared" si="3"/>
        <v>-1.1533767079303732E-2</v>
      </c>
      <c r="M42" s="37">
        <f t="shared" si="4"/>
        <v>0.11242493856418911</v>
      </c>
      <c r="N42" s="38">
        <f t="shared" si="5"/>
        <v>75806000</v>
      </c>
      <c r="O42" s="39">
        <f t="shared" si="6"/>
        <v>2.3557601923527258</v>
      </c>
      <c r="P42" s="38">
        <f>IFERROR(INDEX('Prior YTD Data Pull'!$A$2:$CB$605,MATCH('Prior YTD Data Table'!$C42,'Prior YTD Data Pull'!$A$2:$A$605,0),MATCH("Total Net Assets or Equity",'Prior YTD Data Pull'!$A$1:$CB$1,0)),"")</f>
        <v>619302000</v>
      </c>
      <c r="Q42" s="38">
        <f>IFERROR(INDEX('Prior YTD Data Pull'!$A$2:$CB$605,MATCH('Prior YTD Data Table'!$C42,'Prior YTD Data Pull'!$A$2:$A$605,0),MATCH("Total Operating Revenue",'Prior YTD Data Pull'!$A$1:$CB$1,0)),"")</f>
        <v>682058000</v>
      </c>
      <c r="R42" s="38">
        <f>IFERROR(INDEX('Prior YTD Data Pull'!$A$2:$CB$605,MATCH('Prior YTD Data Table'!$C42,'Prior YTD Data Pull'!$A$2:$A$605,0),MATCH("Total Unrestricted Revenue Gains and Other Support",'Prior YTD Data Pull'!$A$1:$CB$1,0)),"")</f>
        <v>674281000</v>
      </c>
      <c r="S42" s="38">
        <f>IFERROR(INDEX('Prior YTD TS Data Pull'!$J$2:$J$128,MATCH('Prior YTD Data Table'!$C42, 'Prior YTD TS Data Pull'!$A$2:$A$128,0))+INDEX('Prior YTD TS Data Pull'!$N$2:$N$128,MATCH('Prior YTD Data Table'!$C42,'Prior YTD TS Data Pull'!$A$2:$A$609,0))+INDEX('Prior YTD TS Data Pull'!$R$2:$R$128,MATCH('Prior YTD Data Table'!$C42,'Prior YTD TS Data Pull'!$A$2:$A$609,0)),"")</f>
        <v>2013159.41</v>
      </c>
      <c r="T42" s="38">
        <f>IF(INDEX('Prior YTD TS Data Pull'!$A$1:$O$609,MATCH('Prior YTD Data Table'!$C42,'Prior YTD TS Data Pull'!$A$1:$A$609,0),MATCH("Temporary RN Staffing:
Line Reported on in Standardized Financials",'Prior YTD TS Data Pull'!$A$1:$O$1,0))="66.1: Salary and Benefit Expense",'Prior YTD Data Table'!$AV42-'Prior YTD Data Table'!$S42,0)</f>
        <v>261678840.59</v>
      </c>
      <c r="U42" s="38">
        <f>IFERROR(INDEX('Prior YTD Data Pull'!$A$2:$CB$605,MATCH('Prior YTD Data Table'!$C42,'Prior YTD Data Pull'!$A$2:$A$605,0),MATCH("Total Expenses Including Nonrecurring Gains Losses",'Prior YTD Data Pull'!$A$1:$CB$1,0)),"")</f>
        <v>598475000</v>
      </c>
      <c r="V42" s="41">
        <f t="shared" si="7"/>
        <v>0</v>
      </c>
      <c r="W42" s="41">
        <f t="shared" si="8"/>
        <v>49.612498695516059</v>
      </c>
      <c r="X42" s="41">
        <f t="shared" si="0"/>
        <v>92.485624350815399</v>
      </c>
      <c r="Y42" s="37">
        <f t="shared" si="9"/>
        <v>0.30341379160566506</v>
      </c>
      <c r="Z42" s="41">
        <f t="shared" si="1"/>
        <v>121.20365283321294</v>
      </c>
      <c r="AA42" s="39">
        <f t="shared" si="10"/>
        <v>0.47318783860521507</v>
      </c>
      <c r="AB42" s="37">
        <f t="shared" si="11"/>
        <v>0.47699634224396287</v>
      </c>
      <c r="AC42" s="37">
        <f t="shared" si="12"/>
        <v>0.35095993716924417</v>
      </c>
      <c r="AD42" s="38">
        <f>IFERROR(INDEX('Prior YTD Data Pull'!$A$2:$CB$605,MATCH('Prior YTD Data Table'!$C42,'Prior YTD Data Pull'!$A$2:$A$605,0),MATCH("Net Patient Service Revenue",'Prior YTD Data Pull'!$A$1:$CB$1,0)),"")</f>
        <v>632434000</v>
      </c>
      <c r="AE42" s="38">
        <f>IFERROR(INDEX('Prior YTD Data Pull'!$A$2:$CB$605,MATCH('Prior YTD Data Table'!$C42,'Prior YTD Data Pull'!$A$2:$A$605,0),MATCH("Total Current Assets",'Prior YTD Data Pull'!$A$1:$CB$1,0)),"")</f>
        <v>714250000</v>
      </c>
      <c r="AF42" s="38">
        <f>IFERROR(INDEX('Prior YTD Data Pull'!$A$2:$CB$605,MATCH('Prior YTD Data Table'!$C42,'Prior YTD Data Pull'!$A$2:$A$605,0),MATCH("Total Current Liabilities",'Prior YTD Data Pull'!$A$1:$CB$1,0)),"")</f>
        <v>303193000</v>
      </c>
      <c r="AG42" s="38">
        <f>IFERROR(INDEX('Prior YTD Data Pull'!$A$2:$CB$605,MATCH('Prior YTD Data Table'!$C42,'Prior YTD Data Pull'!$A$2:$A$605,0),MATCH("Total Non Operating Revenue",'Prior YTD Data Pull'!$A$1:$CB$1,0)),"")</f>
        <v>-7777000</v>
      </c>
      <c r="AH42" s="38">
        <f>IFERROR(INDEX('Prior YTD Data Pull'!$A$2:$CB$605,MATCH('Prior YTD Data Table'!$C42,'Prior Year Data Pull'!$A$2:$A$593,0),MATCH("Less Accumulated Depreciation",'Prior YTD Data Pull'!$A$1:$CB$1,0)),"")</f>
        <v>0</v>
      </c>
      <c r="AI42" s="38">
        <f>IFERROR(INDEX('Prior YTD Data Pull'!$A$2:$CB$605,MATCH('Prior YTD Data Table'!$C42,'Prior YTD Data Pull'!$A$2:$A$605,0),MATCH("Depreciation and Amortization Expense",'Prior YTD Data Pull'!$A$1:$CB$1,0)),"")</f>
        <v>29492000</v>
      </c>
      <c r="AJ42" s="38">
        <f>IFERROR(INDEX('Prior YTD Data Pull'!$A$2:$CB$605,MATCH('Prior YTD Data Table'!$C42,'Prior YTD Data Pull'!$A$2:$A$605,0),MATCH("Net Patient Accounts Receivable",'Prior YTD Data Pull'!$A$1:$CB$1,0)),"")</f>
        <v>171457000</v>
      </c>
      <c r="AK42" s="14" t="str">
        <f>IF('Prior YTD Data Pull'!$H42 = 6, "183", IF('Prior YTD Data Pull'!$H42 = 3, "93",""))</f>
        <v>183</v>
      </c>
      <c r="AL42" s="38">
        <f>IFERROR(INDEX('Prior YTD Data Pull'!$A$2:$CB$605,MATCH('Prior YTD Data Table'!$C42,'Prior YTD Data Pull'!$A$2:$A$605,0),MATCH("Estimated Third Party Settlements",'Prior YTD Data Pull'!$A$1:$CB$1,0)),"")</f>
        <v>15637000</v>
      </c>
      <c r="AM42" s="38">
        <f>IFERROR(INDEX('Prior YTD Data Pull'!$A$2:$CB$605,MATCH('Prior YTD Data Table'!$C42,'Prior YTD Data Pull'!$A$2:$A$605,0),MATCH("Current Liabilities due to Affiliates",'Prior YTD Data Pull'!$A$1:$CB$1,0)),"")</f>
        <v>135330000</v>
      </c>
      <c r="AN42" s="38">
        <f>IFERROR(INDEX('Prior YTD Data Pull'!$A$2:$CB$605,MATCH('Prior YTD Data Table'!$C42,'Prior YTD Data Pull'!$A$2:$A$605,0),MATCH("Short Term Investments",'Prior YTD Data Pull'!$A$1:$CB$1,0)),"")</f>
        <v>374182000</v>
      </c>
      <c r="AO42" s="38">
        <f>IFERROR(INDEX('Prior YTD Data Pull'!$A$2:$CB$605,MATCH('Prior YTD Data Table'!$C42,'Prior YTD Data Pull'!$A$2:$A$605,0),MATCH("Cash and Cash Equivalents",'Prior YTD Data Pull'!$A$1:$CB$1,0)),"")</f>
        <v>2664000</v>
      </c>
      <c r="AP42" s="38">
        <f>IFERROR(INDEX('Prior YTD Data Pull'!$A$2:$CB$605,MATCH('Prior YTD Data Table'!$C42,'Prior YTD Data Pull'!$A$2:$A$605,0),MATCH("Interest Expense",'Prior YTD Data Pull'!$A$1:$CB$1,0)),"")</f>
        <v>4575000</v>
      </c>
      <c r="AQ42" s="38">
        <f>IFERROR(INDEX('Prior YTD Data Pull'!$A$2:$CB$605,MATCH('Prior YTD Data Table'!$C42,'Prior YTD Data Pull'!$A$2:$A$605,0),MATCH("Long Term Debt Net of Current Portion",'Prior YTD Data Pull'!$A$1:$CB$1,0)),"")</f>
        <v>256053000</v>
      </c>
      <c r="AR42" s="38">
        <f>IFERROR(INDEX('Prior YTD Data Pull'!$A$2:$CB$605,MATCH('Prior YTD Data Table'!$C42,'Prior YTD Data Pull'!$A$2:$A$605,0),MATCH("Total Assets",'Prior YTD Data Pull'!$A$1:$CB$1,0)),"")</f>
        <v>1298337000</v>
      </c>
      <c r="AS42" s="38">
        <f>IFERROR(INDEX('Prior YTD Data Pull'!$A$2:$CB$605,MATCH('Prior YTD Data Table'!$C42,'Prior YTD Data Pull'!$A$2:$A$605,0),MATCH("Long Term Debt Net of Current Portion",'Prior YTD Data Pull'!$A$1:$CB$1,0)),"")</f>
        <v>256053000</v>
      </c>
      <c r="AT42" s="38">
        <f>IFERROR(INDEX('Prior YTD Data Pull'!$A$2:$CB$605,MATCH('Prior YTD Data Table'!$C42,'Prior YTD Data Pull'!$A$2:$A$605,0),MATCH("Net Unrestricted Assets",'Prior YTD Data Pull'!$A$1:$CB$1,0)),"")</f>
        <v>473526000</v>
      </c>
      <c r="AU42" s="38">
        <f>IFERROR(INDEX('Prior YTD Data Pull'!$A$2:$CB$605,MATCH('Prior YTD Data Table'!$C42,'Prior YTD Data Pull'!$A$2:$A$605,0),MATCH("Unrealized Gains/Losses",'Prior YTD Data Pull'!$A$1:$CB$1,0)),"")</f>
        <v>-13453000</v>
      </c>
      <c r="AV42" s="38">
        <f>IFERROR(INDEX('Prior YTD Data Pull'!$A$2:$CB$605,MATCH('Prior YTD Data Table'!$C42,'Prior YTD Data Pull'!$A$2:$A$605,0),MATCH("Salary and Benefit Expense",'Prior YTD Data Pull'!$A$1:$CB$1,0)),"")</f>
        <v>263692000</v>
      </c>
      <c r="AW42" s="38"/>
      <c r="AX42" s="38"/>
      <c r="AY42" s="38"/>
      <c r="AZ42" s="38"/>
    </row>
    <row r="43" spans="1:52" ht="34.200000000000003" x14ac:dyDescent="0.3">
      <c r="A43" s="14" t="str">
        <f>IFERROR(INDEX('Static Data Tab'!$N$2:$N$610,MATCH(D43,'Static Data Tab'!$D$2:$D$610,0)), "")</f>
        <v>Mass General Brigham</v>
      </c>
      <c r="B43" s="14" t="s">
        <v>145</v>
      </c>
      <c r="C43" s="14">
        <v>88</v>
      </c>
      <c r="D43" s="14">
        <v>3791</v>
      </c>
      <c r="E43" s="14" t="str">
        <f>IFERROR(INDEX('Prior YTD Data Pull'!$A$1:$CB$605,MATCH('Prior YTD Data Table'!$C43,'Prior YTD Data Pull'!$A$1:$A$605,0),MATCH("Organization Type",'Prior YTD Data Pull'!$A$1:$CB$1,0)),"")</f>
        <v>AcuteHospital</v>
      </c>
      <c r="F43" s="14" t="str">
        <f>IFERROR(INDEX('Static Data Tab'!$E$2:$E$610,MATCH('Prior YTD Data Table'!$C43,'Static Data Tab'!$B$2:$B$610,0)), "-")</f>
        <v>Community-High Public Payer Hospital</v>
      </c>
      <c r="G43" s="46" t="str">
        <f>IFERROR(INDEX('Static Data Tab'!$J$2:$J$610,MATCH('Prior YTD Data Table'!$C43,'Static Data Tab'!$B$2:$B$610,0)), "")</f>
        <v>Cape and Islands</v>
      </c>
      <c r="H43" s="14">
        <f>IFERROR(INDEX('Static Data Tab'!$F$2:$F$610,MATCH('Prior YTD Data Table'!$C43,'Static Data Tab'!$B$2:$B$610,0)), "")</f>
        <v>0</v>
      </c>
      <c r="I43" s="14">
        <f>IFERROR(INDEX('Static Data Tab'!$G$2:$G$610,MATCH('Prior YTD Data Table'!$C43,'Static Data Tab'!$B$2:$B$610,0)), "")</f>
        <v>0</v>
      </c>
      <c r="J43" s="14" t="str">
        <f>IFERROR(INDEX('Prior YTD Data Pull'!$A$2:$CB$605,MATCH('Prior YTD Data Table'!$C43,'Prior YTD Data Pull'!$A$2:$A$605,0),MATCH("Quarter Range",'Prior YTD Data Pull'!$A$1:$CB$1,0)),"")</f>
        <v xml:space="preserve">10/01/2024-03/31/2025
</v>
      </c>
      <c r="K43" s="37">
        <f t="shared" si="2"/>
        <v>-0.10937411658280093</v>
      </c>
      <c r="L43" s="37">
        <f t="shared" si="3"/>
        <v>9.5126363996155365E-3</v>
      </c>
      <c r="M43" s="37">
        <f t="shared" si="4"/>
        <v>-9.9861480183185386E-2</v>
      </c>
      <c r="N43" s="38">
        <f t="shared" si="5"/>
        <v>-7065000</v>
      </c>
      <c r="O43" s="39" t="str">
        <f t="shared" si="6"/>
        <v/>
      </c>
      <c r="P43" s="38">
        <f>IFERROR(INDEX('Prior YTD Data Pull'!$A$2:$CB$605,MATCH('Prior YTD Data Table'!$C43,'Prior YTD Data Pull'!$A$2:$A$605,0),MATCH("Total Net Assets or Equity",'Prior YTD Data Pull'!$A$1:$CB$1,0)),"")</f>
        <v>0</v>
      </c>
      <c r="Q43" s="38">
        <f>IFERROR(INDEX('Prior YTD Data Pull'!$A$2:$CB$605,MATCH('Prior YTD Data Table'!$C43,'Prior YTD Data Pull'!$A$2:$A$605,0),MATCH("Total Operating Revenue",'Prior YTD Data Pull'!$A$1:$CB$1,0)),"")</f>
        <v>70075000</v>
      </c>
      <c r="R43" s="38">
        <f>IFERROR(INDEX('Prior YTD Data Pull'!$A$2:$CB$605,MATCH('Prior YTD Data Table'!$C43,'Prior YTD Data Pull'!$A$2:$A$605,0),MATCH("Total Unrestricted Revenue Gains and Other Support",'Prior YTD Data Pull'!$A$1:$CB$1,0)),"")</f>
        <v>70748000</v>
      </c>
      <c r="S43" s="38">
        <f>IFERROR(INDEX('Prior YTD TS Data Pull'!$J$2:$J$128,MATCH('Prior YTD Data Table'!$C43, 'Prior YTD TS Data Pull'!$A$2:$A$128,0))+INDEX('Prior YTD TS Data Pull'!$N$2:$N$128,MATCH('Prior YTD Data Table'!$C43,'Prior YTD TS Data Pull'!$A$2:$A$609,0))+INDEX('Prior YTD TS Data Pull'!$R$2:$R$128,MATCH('Prior YTD Data Table'!$C43,'Prior YTD TS Data Pull'!$A$2:$A$609,0)),"")</f>
        <v>2512239.36</v>
      </c>
      <c r="T43" s="38">
        <f>IF(INDEX('Prior YTD TS Data Pull'!$A$1:$O$609,MATCH('Prior YTD Data Table'!$C43,'Prior YTD TS Data Pull'!$A$1:$A$609,0),MATCH("Temporary RN Staffing:
Line Reported on in Standardized Financials",'Prior YTD TS Data Pull'!$A$1:$O$1,0))="66.1: Salary and Benefit Expense",'Prior YTD Data Table'!$AV43-'Prior YTD Data Table'!$S43,0)</f>
        <v>0</v>
      </c>
      <c r="U43" s="38">
        <f>IFERROR(INDEX('Prior YTD Data Pull'!$A$2:$CB$605,MATCH('Prior YTD Data Table'!$C43,'Prior YTD Data Pull'!$A$2:$A$605,0),MATCH("Total Expenses Including Nonrecurring Gains Losses",'Prior YTD Data Pull'!$A$1:$CB$1,0)),"")</f>
        <v>77813000</v>
      </c>
      <c r="V43" s="41">
        <f t="shared" si="7"/>
        <v>0</v>
      </c>
      <c r="W43" s="41">
        <f t="shared" si="8"/>
        <v>0</v>
      </c>
      <c r="X43" s="41">
        <f t="shared" si="0"/>
        <v>0</v>
      </c>
      <c r="Y43" s="37" t="str">
        <f t="shared" si="9"/>
        <v/>
      </c>
      <c r="Z43" s="41">
        <f t="shared" si="1"/>
        <v>0</v>
      </c>
      <c r="AA43" s="39">
        <f t="shared" si="10"/>
        <v>-135.22222222222223</v>
      </c>
      <c r="AB43" s="37" t="str">
        <f t="shared" si="11"/>
        <v/>
      </c>
      <c r="AC43" s="37" t="str">
        <f t="shared" si="12"/>
        <v/>
      </c>
      <c r="AD43" s="38">
        <f>IFERROR(INDEX('Prior YTD Data Pull'!$A$2:$CB$605,MATCH('Prior YTD Data Table'!$C43,'Prior YTD Data Pull'!$A$2:$A$605,0),MATCH("Net Patient Service Revenue",'Prior YTD Data Pull'!$A$1:$CB$1,0)),"")</f>
        <v>65647000</v>
      </c>
      <c r="AE43" s="38">
        <f>IFERROR(INDEX('Prior YTD Data Pull'!$A$2:$CB$605,MATCH('Prior YTD Data Table'!$C43,'Prior YTD Data Pull'!$A$2:$A$605,0),MATCH("Total Current Assets",'Prior YTD Data Pull'!$A$1:$CB$1,0)),"")</f>
        <v>0</v>
      </c>
      <c r="AF43" s="38">
        <f>IFERROR(INDEX('Prior YTD Data Pull'!$A$2:$CB$605,MATCH('Prior YTD Data Table'!$C43,'Prior YTD Data Pull'!$A$2:$A$605,0),MATCH("Total Current Liabilities",'Prior YTD Data Pull'!$A$1:$CB$1,0)),"")</f>
        <v>0</v>
      </c>
      <c r="AG43" s="38">
        <f>IFERROR(INDEX('Prior YTD Data Pull'!$A$2:$CB$605,MATCH('Prior YTD Data Table'!$C43,'Prior YTD Data Pull'!$A$2:$A$605,0),MATCH("Total Non Operating Revenue",'Prior YTD Data Pull'!$A$1:$CB$1,0)),"")</f>
        <v>673000</v>
      </c>
      <c r="AH43" s="38">
        <f>IFERROR(INDEX('Prior YTD Data Pull'!$A$2:$CB$605,MATCH('Prior YTD Data Table'!$C43,'Prior Year Data Pull'!$A$2:$A$593,0),MATCH("Less Accumulated Depreciation",'Prior YTD Data Pull'!$A$1:$CB$1,0)),"")</f>
        <v>0</v>
      </c>
      <c r="AI43" s="38">
        <f>IFERROR(INDEX('Prior YTD Data Pull'!$A$2:$CB$605,MATCH('Prior YTD Data Table'!$C43,'Prior YTD Data Pull'!$A$2:$A$605,0),MATCH("Depreciation and Amortization Expense",'Prior YTD Data Pull'!$A$1:$CB$1,0)),"")</f>
        <v>3406000</v>
      </c>
      <c r="AJ43" s="38">
        <f>IFERROR(INDEX('Prior YTD Data Pull'!$A$2:$CB$605,MATCH('Prior YTD Data Table'!$C43,'Prior YTD Data Pull'!$A$2:$A$605,0),MATCH("Net Patient Accounts Receivable",'Prior YTD Data Pull'!$A$1:$CB$1,0)),"")</f>
        <v>0</v>
      </c>
      <c r="AK43" s="14" t="str">
        <f>IF('Prior YTD Data Pull'!$H43 = 6, "183", IF('Prior YTD Data Pull'!$H43 = 3, "93",""))</f>
        <v>183</v>
      </c>
      <c r="AL43" s="38">
        <f>IFERROR(INDEX('Prior YTD Data Pull'!$A$2:$CB$605,MATCH('Prior YTD Data Table'!$C43,'Prior YTD Data Pull'!$A$2:$A$605,0),MATCH("Estimated Third Party Settlements",'Prior YTD Data Pull'!$A$1:$CB$1,0)),"")</f>
        <v>0</v>
      </c>
      <c r="AM43" s="38">
        <f>IFERROR(INDEX('Prior YTD Data Pull'!$A$2:$CB$605,MATCH('Prior YTD Data Table'!$C43,'Prior YTD Data Pull'!$A$2:$A$605,0),MATCH("Current Liabilities due to Affiliates",'Prior YTD Data Pull'!$A$1:$CB$1,0)),"")</f>
        <v>0</v>
      </c>
      <c r="AN43" s="38">
        <f>IFERROR(INDEX('Prior YTD Data Pull'!$A$2:$CB$605,MATCH('Prior YTD Data Table'!$C43,'Prior YTD Data Pull'!$A$2:$A$605,0),MATCH("Short Term Investments",'Prior YTD Data Pull'!$A$1:$CB$1,0)),"")</f>
        <v>0</v>
      </c>
      <c r="AO43" s="38">
        <f>IFERROR(INDEX('Prior YTD Data Pull'!$A$2:$CB$605,MATCH('Prior YTD Data Table'!$C43,'Prior YTD Data Pull'!$A$2:$A$605,0),MATCH("Cash and Cash Equivalents",'Prior YTD Data Pull'!$A$1:$CB$1,0)),"")</f>
        <v>0</v>
      </c>
      <c r="AP43" s="38">
        <f>IFERROR(INDEX('Prior YTD Data Pull'!$A$2:$CB$605,MATCH('Prior YTD Data Table'!$C43,'Prior YTD Data Pull'!$A$2:$A$605,0),MATCH("Interest Expense",'Prior YTD Data Pull'!$A$1:$CB$1,0)),"")</f>
        <v>27000</v>
      </c>
      <c r="AQ43" s="38">
        <f>IFERROR(INDEX('Prior YTD Data Pull'!$A$2:$CB$605,MATCH('Prior YTD Data Table'!$C43,'Prior YTD Data Pull'!$A$2:$A$605,0),MATCH("Long Term Debt Net of Current Portion",'Prior YTD Data Pull'!$A$1:$CB$1,0)),"")</f>
        <v>0</v>
      </c>
      <c r="AR43" s="38">
        <f>IFERROR(INDEX('Prior YTD Data Pull'!$A$2:$CB$605,MATCH('Prior YTD Data Table'!$C43,'Prior YTD Data Pull'!$A$2:$A$605,0),MATCH("Total Assets",'Prior YTD Data Pull'!$A$1:$CB$1,0)),"")</f>
        <v>0</v>
      </c>
      <c r="AS43" s="38">
        <f>IFERROR(INDEX('Prior YTD Data Pull'!$A$2:$CB$605,MATCH('Prior YTD Data Table'!$C43,'Prior YTD Data Pull'!$A$2:$A$605,0),MATCH("Long Term Debt Net of Current Portion",'Prior YTD Data Pull'!$A$1:$CB$1,0)),"")</f>
        <v>0</v>
      </c>
      <c r="AT43" s="38">
        <f>IFERROR(INDEX('Prior YTD Data Pull'!$A$2:$CB$605,MATCH('Prior YTD Data Table'!$C43,'Prior YTD Data Pull'!$A$2:$A$605,0),MATCH("Net Unrestricted Assets",'Prior YTD Data Pull'!$A$1:$CB$1,0)),"")</f>
        <v>0</v>
      </c>
      <c r="AU43" s="38">
        <f>IFERROR(INDEX('Prior YTD Data Pull'!$A$2:$CB$605,MATCH('Prior YTD Data Table'!$C43,'Prior YTD Data Pull'!$A$2:$A$605,0),MATCH("Unrealized Gains/Losses",'Prior YTD Data Pull'!$A$1:$CB$1,0)),"")</f>
        <v>19000</v>
      </c>
      <c r="AV43" s="38">
        <f>IFERROR(INDEX('Prior YTD Data Pull'!$A$2:$CB$605,MATCH('Prior YTD Data Table'!$C43,'Prior YTD Data Pull'!$A$2:$A$605,0),MATCH("Salary and Benefit Expense",'Prior YTD Data Pull'!$A$1:$CB$1,0)),"")</f>
        <v>47025000</v>
      </c>
      <c r="AW43" s="47"/>
      <c r="AX43" s="47"/>
      <c r="AY43" s="47"/>
      <c r="AZ43" s="47"/>
    </row>
    <row r="44" spans="1:52" ht="34.200000000000003" x14ac:dyDescent="0.3">
      <c r="A44" s="14" t="str">
        <f>IFERROR(INDEX('Static Data Tab'!$N$2:$N$610,MATCH(D44,'Static Data Tab'!$D$2:$D$610,0)), "")</f>
        <v>Beth Israel Lahey Health</v>
      </c>
      <c r="B44" s="14" t="s">
        <v>100</v>
      </c>
      <c r="C44" s="14">
        <v>3112</v>
      </c>
      <c r="D44" s="14">
        <v>16665</v>
      </c>
      <c r="E44" s="14" t="str">
        <f>IFERROR(INDEX('Prior YTD Data Pull'!$A$1:$CB$605,MATCH('Prior YTD Data Table'!$C44,'Prior YTD Data Pull'!$A$1:$A$605,0),MATCH("Organization Type",'Prior YTD Data Pull'!$A$1:$CB$1,0)),"")</f>
        <v>AcuteHospital</v>
      </c>
      <c r="F44" s="14" t="str">
        <f>IFERROR(INDEX('Static Data Tab'!$E$2:$E$610,MATCH('Prior YTD Data Table'!$C44,'Static Data Tab'!$B$2:$B$610,0)), "-")</f>
        <v>Community-High Public Payer Hospital</v>
      </c>
      <c r="G44" s="46" t="str">
        <f>IFERROR(INDEX('Static Data Tab'!$J$2:$J$610,MATCH('Prior YTD Data Table'!$C44,'Static Data Tab'!$B$2:$B$610,0)), "")</f>
        <v>Northeastern Massachusetts</v>
      </c>
      <c r="H44" s="14" t="str">
        <f>IFERROR(INDEX('Static Data Tab'!$F$2:$F$610,MATCH('Prior YTD Data Table'!$C44,'Static Data Tab'!$B$2:$B$610,0)), "")</f>
        <v>x</v>
      </c>
      <c r="I44" s="14">
        <f>IFERROR(INDEX('Static Data Tab'!$G$2:$G$610,MATCH('Prior YTD Data Table'!$C44,'Static Data Tab'!$B$2:$B$610,0)), "")</f>
        <v>0</v>
      </c>
      <c r="J44" s="14" t="str">
        <f>IFERROR(INDEX('Prior YTD Data Pull'!$A$2:$CB$605,MATCH('Prior YTD Data Table'!$C44,'Prior YTD Data Pull'!$A$2:$A$605,0),MATCH("Quarter Range",'Prior YTD Data Pull'!$A$1:$CB$1,0)),"")</f>
        <v xml:space="preserve">10/01/2024-03/31/2025
</v>
      </c>
      <c r="K44" s="37">
        <f t="shared" si="2"/>
        <v>0.15568363599326579</v>
      </c>
      <c r="L44" s="37">
        <f t="shared" si="3"/>
        <v>-1.6850499373910335E-2</v>
      </c>
      <c r="M44" s="37">
        <f t="shared" si="4"/>
        <v>0.13883313661935545</v>
      </c>
      <c r="N44" s="38">
        <f t="shared" si="5"/>
        <v>46345000</v>
      </c>
      <c r="O44" s="39">
        <f t="shared" si="6"/>
        <v>7.0901955162093868</v>
      </c>
      <c r="P44" s="38">
        <f>IFERROR(INDEX('Prior YTD Data Pull'!$A$2:$CB$605,MATCH('Prior YTD Data Table'!$C44,'Prior YTD Data Pull'!$A$2:$A$605,0),MATCH("Total Net Assets or Equity",'Prior YTD Data Pull'!$A$1:$CB$1,0)),"")</f>
        <v>387937000</v>
      </c>
      <c r="Q44" s="38">
        <f>IFERROR(INDEX('Prior YTD Data Pull'!$A$2:$CB$605,MATCH('Prior YTD Data Table'!$C44,'Prior YTD Data Pull'!$A$2:$A$605,0),MATCH("Total Operating Revenue",'Prior YTD Data Pull'!$A$1:$CB$1,0)),"")</f>
        <v>339443000</v>
      </c>
      <c r="R44" s="38">
        <f>IFERROR(INDEX('Prior YTD Data Pull'!$A$2:$CB$605,MATCH('Prior YTD Data Table'!$C44,'Prior YTD Data Pull'!$A$2:$A$605,0),MATCH("Total Unrestricted Revenue Gains and Other Support",'Prior YTD Data Pull'!$A$1:$CB$1,0)),"")</f>
        <v>333818000</v>
      </c>
      <c r="S44" s="38">
        <f>IFERROR(INDEX('Prior YTD TS Data Pull'!$J$2:$J$128,MATCH('Prior YTD Data Table'!$C44, 'Prior YTD TS Data Pull'!$A$2:$A$128,0))+INDEX('Prior YTD TS Data Pull'!$N$2:$N$128,MATCH('Prior YTD Data Table'!$C44,'Prior YTD TS Data Pull'!$A$2:$A$609,0))+INDEX('Prior YTD TS Data Pull'!$R$2:$R$128,MATCH('Prior YTD Data Table'!$C44,'Prior YTD TS Data Pull'!$A$2:$A$609,0)),"")</f>
        <v>1902640.040000004</v>
      </c>
      <c r="T44" s="38">
        <f>IF(INDEX('Prior YTD TS Data Pull'!$A$1:$O$609,MATCH('Prior YTD Data Table'!$C44,'Prior YTD TS Data Pull'!$A$1:$A$609,0),MATCH("Temporary RN Staffing:
Line Reported on in Standardized Financials",'Prior YTD TS Data Pull'!$A$1:$O$1,0))="66.1: Salary and Benefit Expense",'Prior YTD Data Table'!$AV44-'Prior YTD Data Table'!$S44,0)</f>
        <v>116136359.95999999</v>
      </c>
      <c r="U44" s="38">
        <f>IFERROR(INDEX('Prior YTD Data Pull'!$A$2:$CB$605,MATCH('Prior YTD Data Table'!$C44,'Prior YTD Data Pull'!$A$2:$A$605,0),MATCH("Total Expenses Including Nonrecurring Gains Losses",'Prior YTD Data Pull'!$A$1:$CB$1,0)),"")</f>
        <v>287473000</v>
      </c>
      <c r="V44" s="41">
        <f t="shared" si="7"/>
        <v>0</v>
      </c>
      <c r="W44" s="41">
        <f t="shared" si="8"/>
        <v>47.020302143667529</v>
      </c>
      <c r="X44" s="41">
        <f t="shared" si="0"/>
        <v>28.471964130207919</v>
      </c>
      <c r="Y44" s="37">
        <f t="shared" si="9"/>
        <v>0.95684483980162172</v>
      </c>
      <c r="Z44" s="41">
        <f t="shared" si="1"/>
        <v>163.68745276976114</v>
      </c>
      <c r="AA44" s="39">
        <f t="shared" si="10"/>
        <v>0.95738958757597903</v>
      </c>
      <c r="AB44" s="37">
        <f t="shared" si="11"/>
        <v>0.70803956174724358</v>
      </c>
      <c r="AC44" s="37">
        <f t="shared" si="12"/>
        <v>0.15139957904171206</v>
      </c>
      <c r="AD44" s="38">
        <f>IFERROR(INDEX('Prior YTD Data Pull'!$A$2:$CB$605,MATCH('Prior YTD Data Table'!$C44,'Prior YTD Data Pull'!$A$2:$A$605,0),MATCH("Net Patient Service Revenue",'Prior YTD Data Pull'!$A$1:$CB$1,0)),"")</f>
        <v>234458000</v>
      </c>
      <c r="AE44" s="38">
        <f>IFERROR(INDEX('Prior YTD Data Pull'!$A$2:$CB$605,MATCH('Prior YTD Data Table'!$C44,'Prior YTD Data Pull'!$A$2:$A$605,0),MATCH("Total Current Assets",'Prior YTD Data Pull'!$A$1:$CB$1,0)),"")</f>
        <v>395640000</v>
      </c>
      <c r="AF44" s="38">
        <f>IFERROR(INDEX('Prior YTD Data Pull'!$A$2:$CB$605,MATCH('Prior YTD Data Table'!$C44,'Prior YTD Data Pull'!$A$2:$A$605,0),MATCH("Total Current Liabilities",'Prior YTD Data Pull'!$A$1:$CB$1,0)),"")</f>
        <v>55801000</v>
      </c>
      <c r="AG44" s="38">
        <f>IFERROR(INDEX('Prior YTD Data Pull'!$A$2:$CB$605,MATCH('Prior YTD Data Table'!$C44,'Prior YTD Data Pull'!$A$2:$A$605,0),MATCH("Total Non Operating Revenue",'Prior YTD Data Pull'!$A$1:$CB$1,0)),"")</f>
        <v>-5625000</v>
      </c>
      <c r="AH44" s="38">
        <f>IFERROR(INDEX('Prior YTD Data Pull'!$A$2:$CB$605,MATCH('Prior YTD Data Table'!$C44,'Prior Year Data Pull'!$A$2:$A$593,0),MATCH("Less Accumulated Depreciation",'Prior YTD Data Pull'!$A$1:$CB$1,0)),"")</f>
        <v>0</v>
      </c>
      <c r="AI44" s="38">
        <f>IFERROR(INDEX('Prior YTD Data Pull'!$A$2:$CB$605,MATCH('Prior YTD Data Table'!$C44,'Prior YTD Data Pull'!$A$2:$A$605,0),MATCH("Depreciation and Amortization Expense",'Prior YTD Data Pull'!$A$1:$CB$1,0)),"")</f>
        <v>9579000</v>
      </c>
      <c r="AJ44" s="38">
        <f>IFERROR(INDEX('Prior YTD Data Pull'!$A$2:$CB$605,MATCH('Prior YTD Data Table'!$C44,'Prior YTD Data Pull'!$A$2:$A$605,0),MATCH("Net Patient Accounts Receivable",'Prior YTD Data Pull'!$A$1:$CB$1,0)),"")</f>
        <v>60242000</v>
      </c>
      <c r="AK44" s="14" t="str">
        <f>IF('Prior YTD Data Pull'!$H44 = 6, "183", IF('Prior YTD Data Pull'!$H44 = 3, "93",""))</f>
        <v>183</v>
      </c>
      <c r="AL44" s="38">
        <f>IFERROR(INDEX('Prior YTD Data Pull'!$A$2:$CB$605,MATCH('Prior YTD Data Table'!$C44,'Prior YTD Data Pull'!$A$2:$A$605,0),MATCH("Estimated Third Party Settlements",'Prior YTD Data Pull'!$A$1:$CB$1,0)),"")</f>
        <v>12565000</v>
      </c>
      <c r="AM44" s="38">
        <f>IFERROR(INDEX('Prior YTD Data Pull'!$A$2:$CB$605,MATCH('Prior YTD Data Table'!$C44,'Prior YTD Data Pull'!$A$2:$A$605,0),MATCH("Current Liabilities due to Affiliates",'Prior YTD Data Pull'!$A$1:$CB$1,0)),"")</f>
        <v>0</v>
      </c>
      <c r="AN44" s="38">
        <f>IFERROR(INDEX('Prior YTD Data Pull'!$A$2:$CB$605,MATCH('Prior YTD Data Table'!$C44,'Prior YTD Data Pull'!$A$2:$A$605,0),MATCH("Short Term Investments",'Prior YTD Data Pull'!$A$1:$CB$1,0)),"")</f>
        <v>248488000</v>
      </c>
      <c r="AO44" s="38">
        <f>IFERROR(INDEX('Prior YTD Data Pull'!$A$2:$CB$605,MATCH('Prior YTD Data Table'!$C44,'Prior YTD Data Pull'!$A$2:$A$605,0),MATCH("Cash and Cash Equivalents",'Prior YTD Data Pull'!$A$1:$CB$1,0)),"")</f>
        <v>79000</v>
      </c>
      <c r="AP44" s="38">
        <f>IFERROR(INDEX('Prior YTD Data Pull'!$A$2:$CB$605,MATCH('Prior YTD Data Table'!$C44,'Prior YTD Data Pull'!$A$2:$A$605,0),MATCH("Interest Expense",'Prior YTD Data Pull'!$A$1:$CB$1,0)),"")</f>
        <v>812000</v>
      </c>
      <c r="AQ44" s="38">
        <f>IFERROR(INDEX('Prior YTD Data Pull'!$A$2:$CB$605,MATCH('Prior YTD Data Table'!$C44,'Prior YTD Data Pull'!$A$2:$A$605,0),MATCH("Long Term Debt Net of Current Portion",'Prior YTD Data Pull'!$A$1:$CB$1,0)),"")</f>
        <v>63515000</v>
      </c>
      <c r="AR44" s="38">
        <f>IFERROR(INDEX('Prior YTD Data Pull'!$A$2:$CB$605,MATCH('Prior YTD Data Table'!$C44,'Prior YTD Data Pull'!$A$2:$A$605,0),MATCH("Total Assets",'Prior YTD Data Pull'!$A$1:$CB$1,0)),"")</f>
        <v>547903000</v>
      </c>
      <c r="AS44" s="38">
        <f>IFERROR(INDEX('Prior YTD Data Pull'!$A$2:$CB$605,MATCH('Prior YTD Data Table'!$C44,'Prior YTD Data Pull'!$A$2:$A$605,0),MATCH("Long Term Debt Net of Current Portion",'Prior YTD Data Pull'!$A$1:$CB$1,0)),"")</f>
        <v>63515000</v>
      </c>
      <c r="AT44" s="38">
        <f>IFERROR(INDEX('Prior YTD Data Pull'!$A$2:$CB$605,MATCH('Prior YTD Data Table'!$C44,'Prior YTD Data Pull'!$A$2:$A$605,0),MATCH("Net Unrestricted Assets",'Prior YTD Data Pull'!$A$1:$CB$1,0)),"")</f>
        <v>356004000</v>
      </c>
      <c r="AU44" s="38">
        <f>IFERROR(INDEX('Prior YTD Data Pull'!$A$2:$CB$605,MATCH('Prior YTD Data Table'!$C44,'Prior YTD Data Pull'!$A$2:$A$605,0),MATCH("Unrealized Gains/Losses",'Prior YTD Data Pull'!$A$1:$CB$1,0)),"")</f>
        <v>-4850000</v>
      </c>
      <c r="AV44" s="38">
        <f>IFERROR(INDEX('Prior YTD Data Pull'!$A$2:$CB$605,MATCH('Prior YTD Data Table'!$C44,'Prior YTD Data Pull'!$A$2:$A$605,0),MATCH("Salary and Benefit Expense",'Prior YTD Data Pull'!$A$1:$CB$1,0)),"")</f>
        <v>118039000</v>
      </c>
      <c r="AW44" s="38"/>
      <c r="AX44" s="38"/>
      <c r="AY44" s="38"/>
      <c r="AZ44" s="38"/>
    </row>
    <row r="45" spans="1:52" ht="34.200000000000003" x14ac:dyDescent="0.3">
      <c r="A45" s="14" t="str">
        <f>IFERROR(INDEX('Static Data Tab'!$N$2:$N$610,MATCH(D45,'Static Data Tab'!$D$2:$D$610,0)), "")</f>
        <v>Mass General Brigham</v>
      </c>
      <c r="B45" s="57" t="s">
        <v>148</v>
      </c>
      <c r="C45" s="57">
        <v>101</v>
      </c>
      <c r="D45" s="57">
        <v>3791</v>
      </c>
      <c r="E45" s="14" t="str">
        <f>IFERROR(INDEX('Prior YTD Data Pull'!$A$1:$CB$605,MATCH('Prior YTD Data Table'!$C45,'Prior YTD Data Pull'!$A$1:$A$605,0),MATCH("Organization Type",'Prior YTD Data Pull'!$A$1:$CB$1,0)),"")</f>
        <v>AcuteHospital</v>
      </c>
      <c r="F45" s="14" t="str">
        <f>IFERROR(INDEX('Static Data Tab'!$E$2:$E$610,MATCH('Prior YTD Data Table'!$C45,'Static Data Tab'!$B$2:$B$610,0)), "-")</f>
        <v>Community Hospital</v>
      </c>
      <c r="G45" s="46" t="str">
        <f>IFERROR(INDEX('Static Data Tab'!$J$2:$J$610,MATCH('Prior YTD Data Table'!$C45,'Static Data Tab'!$B$2:$B$610,0)), "")</f>
        <v>Cape and Islands</v>
      </c>
      <c r="H45" s="14">
        <f>IFERROR(INDEX('Static Data Tab'!$F$2:$F$610,MATCH('Prior YTD Data Table'!$C45,'Static Data Tab'!$B$2:$B$610,0)), "")</f>
        <v>0</v>
      </c>
      <c r="I45" s="14">
        <f>IFERROR(INDEX('Static Data Tab'!$G$2:$G$610,MATCH('Prior YTD Data Table'!$C45,'Static Data Tab'!$B$2:$B$610,0)), "")</f>
        <v>0</v>
      </c>
      <c r="J45" s="14" t="str">
        <f>IFERROR(INDEX('Prior YTD Data Pull'!$A$2:$CB$605,MATCH('Prior YTD Data Table'!$C45,'Prior YTD Data Pull'!$A$2:$A$605,0),MATCH("Quarter Range",'Prior YTD Data Pull'!$A$1:$CB$1,0)),"")</f>
        <v xml:space="preserve">10/01/2024-03/31/2025
</v>
      </c>
      <c r="K45" s="37">
        <f t="shared" si="2"/>
        <v>-0.10568596765779864</v>
      </c>
      <c r="L45" s="37">
        <f t="shared" si="3"/>
        <v>8.997391757955138E-2</v>
      </c>
      <c r="M45" s="37">
        <f t="shared" si="4"/>
        <v>-1.5712050078247261E-2</v>
      </c>
      <c r="N45" s="38">
        <f t="shared" si="5"/>
        <v>-753000</v>
      </c>
      <c r="O45" s="39" t="str">
        <f t="shared" si="6"/>
        <v/>
      </c>
      <c r="P45" s="38">
        <f>IFERROR(INDEX('Prior YTD Data Pull'!$A$2:$CB$605,MATCH('Prior YTD Data Table'!$C45,'Prior YTD Data Pull'!$A$2:$A$605,0),MATCH("Total Net Assets or Equity",'Prior YTD Data Pull'!$A$1:$CB$1,0)),"")</f>
        <v>0</v>
      </c>
      <c r="Q45" s="38">
        <f>IFERROR(INDEX('Prior YTD Data Pull'!$A$2:$CB$605,MATCH('Prior YTD Data Table'!$C45,'Prior YTD Data Pull'!$A$2:$A$605,0),MATCH("Total Operating Revenue",'Prior YTD Data Pull'!$A$1:$CB$1,0)),"")</f>
        <v>43613000</v>
      </c>
      <c r="R45" s="38">
        <f>IFERROR(INDEX('Prior YTD Data Pull'!$A$2:$CB$605,MATCH('Prior YTD Data Table'!$C45,'Prior YTD Data Pull'!$A$2:$A$605,0),MATCH("Total Unrestricted Revenue Gains and Other Support",'Prior YTD Data Pull'!$A$1:$CB$1,0)),"")</f>
        <v>47925000</v>
      </c>
      <c r="S45" s="38">
        <f>IFERROR(INDEX('Prior YTD TS Data Pull'!$J$2:$J$128,MATCH('Prior YTD Data Table'!$C45, 'Prior YTD TS Data Pull'!$A$2:$A$128,0))+INDEX('Prior YTD TS Data Pull'!$N$2:$N$128,MATCH('Prior YTD Data Table'!$C45,'Prior YTD TS Data Pull'!$A$2:$A$609,0))+INDEX('Prior YTD TS Data Pull'!$R$2:$R$128,MATCH('Prior YTD Data Table'!$C45,'Prior YTD TS Data Pull'!$A$2:$A$609,0)),"")</f>
        <v>2771581.87</v>
      </c>
      <c r="T45" s="38">
        <f>IF(INDEX('Prior YTD TS Data Pull'!$A$1:$O$609,MATCH('Prior YTD Data Table'!$C45,'Prior YTD TS Data Pull'!$A$1:$A$609,0),MATCH("Temporary RN Staffing:
Line Reported on in Standardized Financials",'Prior YTD TS Data Pull'!$A$1:$O$1,0))="66.1: Salary and Benefit Expense",'Prior YTD Data Table'!$AV45-'Prior YTD Data Table'!$S45,0)</f>
        <v>0</v>
      </c>
      <c r="U45" s="38">
        <f>IFERROR(INDEX('Prior YTD Data Pull'!$A$2:$CB$605,MATCH('Prior YTD Data Table'!$C45,'Prior YTD Data Pull'!$A$2:$A$605,0),MATCH("Total Expenses Including Nonrecurring Gains Losses",'Prior YTD Data Pull'!$A$1:$CB$1,0)),"")</f>
        <v>48678000</v>
      </c>
      <c r="V45" s="41">
        <f t="shared" si="7"/>
        <v>0</v>
      </c>
      <c r="W45" s="41">
        <f t="shared" si="8"/>
        <v>0</v>
      </c>
      <c r="X45" s="41">
        <f t="shared" si="0"/>
        <v>0</v>
      </c>
      <c r="Y45" s="37" t="str">
        <f t="shared" si="9"/>
        <v/>
      </c>
      <c r="Z45" s="41">
        <f t="shared" si="1"/>
        <v>0</v>
      </c>
      <c r="AA45" s="39">
        <f t="shared" si="10"/>
        <v>48</v>
      </c>
      <c r="AB45" s="37" t="str">
        <f t="shared" si="11"/>
        <v/>
      </c>
      <c r="AC45" s="37" t="str">
        <f t="shared" si="12"/>
        <v/>
      </c>
      <c r="AD45" s="38">
        <f>IFERROR(INDEX('Prior YTD Data Pull'!$A$2:$CB$605,MATCH('Prior YTD Data Table'!$C45,'Prior YTD Data Pull'!$A$2:$A$605,0),MATCH("Net Patient Service Revenue",'Prior YTD Data Pull'!$A$1:$CB$1,0)),"")</f>
        <v>36613000</v>
      </c>
      <c r="AE45" s="38">
        <f>IFERROR(INDEX('Prior YTD Data Pull'!$A$2:$CB$605,MATCH('Prior YTD Data Table'!$C45,'Prior YTD Data Pull'!$A$2:$A$605,0),MATCH("Total Current Assets",'Prior YTD Data Pull'!$A$1:$CB$1,0)),"")</f>
        <v>0</v>
      </c>
      <c r="AF45" s="38">
        <f>IFERROR(INDEX('Prior YTD Data Pull'!$A$2:$CB$605,MATCH('Prior YTD Data Table'!$C45,'Prior YTD Data Pull'!$A$2:$A$605,0),MATCH("Total Current Liabilities",'Prior YTD Data Pull'!$A$1:$CB$1,0)),"")</f>
        <v>0</v>
      </c>
      <c r="AG45" s="38">
        <f>IFERROR(INDEX('Prior YTD Data Pull'!$A$2:$CB$605,MATCH('Prior YTD Data Table'!$C45,'Prior YTD Data Pull'!$A$2:$A$605,0),MATCH("Total Non Operating Revenue",'Prior YTD Data Pull'!$A$1:$CB$1,0)),"")</f>
        <v>4312000</v>
      </c>
      <c r="AH45" s="38">
        <f>IFERROR(INDEX('Prior YTD Data Pull'!$A$2:$CB$605,MATCH('Prior YTD Data Table'!$C45,'Prior Year Data Pull'!$A$2:$A$593,0),MATCH("Less Accumulated Depreciation",'Prior YTD Data Pull'!$A$1:$CB$1,0)),"")</f>
        <v>0</v>
      </c>
      <c r="AI45" s="38">
        <f>IFERROR(INDEX('Prior YTD Data Pull'!$A$2:$CB$605,MATCH('Prior YTD Data Table'!$C45,'Prior YTD Data Pull'!$A$2:$A$605,0),MATCH("Depreciation and Amortization Expense",'Prior YTD Data Pull'!$A$1:$CB$1,0)),"")</f>
        <v>3104000</v>
      </c>
      <c r="AJ45" s="38">
        <f>IFERROR(INDEX('Prior YTD Data Pull'!$A$2:$CB$605,MATCH('Prior YTD Data Table'!$C45,'Prior YTD Data Pull'!$A$2:$A$605,0),MATCH("Net Patient Accounts Receivable",'Prior YTD Data Pull'!$A$1:$CB$1,0)),"")</f>
        <v>0</v>
      </c>
      <c r="AK45" s="14" t="str">
        <f>IF('Prior YTD Data Pull'!$H45 = 6, "183", IF('Prior YTD Data Pull'!$H45 = 3, "93",""))</f>
        <v>183</v>
      </c>
      <c r="AL45" s="38">
        <f>IFERROR(INDEX('Prior YTD Data Pull'!$A$2:$CB$605,MATCH('Prior YTD Data Table'!$C45,'Prior YTD Data Pull'!$A$2:$A$605,0),MATCH("Estimated Third Party Settlements",'Prior YTD Data Pull'!$A$1:$CB$1,0)),"")</f>
        <v>0</v>
      </c>
      <c r="AM45" s="38">
        <f>IFERROR(INDEX('Prior YTD Data Pull'!$A$2:$CB$605,MATCH('Prior YTD Data Table'!$C45,'Prior YTD Data Pull'!$A$2:$A$605,0),MATCH("Current Liabilities due to Affiliates",'Prior YTD Data Pull'!$A$1:$CB$1,0)),"")</f>
        <v>0</v>
      </c>
      <c r="AN45" s="38">
        <f>IFERROR(INDEX('Prior YTD Data Pull'!$A$2:$CB$605,MATCH('Prior YTD Data Table'!$C45,'Prior YTD Data Pull'!$A$2:$A$605,0),MATCH("Short Term Investments",'Prior YTD Data Pull'!$A$1:$CB$1,0)),"")</f>
        <v>0</v>
      </c>
      <c r="AO45" s="38">
        <f>IFERROR(INDEX('Prior YTD Data Pull'!$A$2:$CB$605,MATCH('Prior YTD Data Table'!$C45,'Prior YTD Data Pull'!$A$2:$A$605,0),MATCH("Cash and Cash Equivalents",'Prior YTD Data Pull'!$A$1:$CB$1,0)),"")</f>
        <v>0</v>
      </c>
      <c r="AP45" s="38">
        <f>IFERROR(INDEX('Prior YTD Data Pull'!$A$2:$CB$605,MATCH('Prior YTD Data Table'!$C45,'Prior YTD Data Pull'!$A$2:$A$605,0),MATCH("Interest Expense",'Prior YTD Data Pull'!$A$1:$CB$1,0)),"")</f>
        <v>50000</v>
      </c>
      <c r="AQ45" s="38">
        <f>IFERROR(INDEX('Prior YTD Data Pull'!$A$2:$CB$605,MATCH('Prior YTD Data Table'!$C45,'Prior YTD Data Pull'!$A$2:$A$605,0),MATCH("Long Term Debt Net of Current Portion",'Prior YTD Data Pull'!$A$1:$CB$1,0)),"")</f>
        <v>0</v>
      </c>
      <c r="AR45" s="38">
        <f>IFERROR(INDEX('Prior YTD Data Pull'!$A$2:$CB$605,MATCH('Prior YTD Data Table'!$C45,'Prior YTD Data Pull'!$A$2:$A$605,0),MATCH("Total Assets",'Prior YTD Data Pull'!$A$1:$CB$1,0)),"")</f>
        <v>0</v>
      </c>
      <c r="AS45" s="38">
        <f>IFERROR(INDEX('Prior YTD Data Pull'!$A$2:$CB$605,MATCH('Prior YTD Data Table'!$C45,'Prior YTD Data Pull'!$A$2:$A$605,0),MATCH("Long Term Debt Net of Current Portion",'Prior YTD Data Pull'!$A$1:$CB$1,0)),"")</f>
        <v>0</v>
      </c>
      <c r="AT45" s="38">
        <f>IFERROR(INDEX('Prior YTD Data Pull'!$A$2:$CB$605,MATCH('Prior YTD Data Table'!$C45,'Prior YTD Data Pull'!$A$2:$A$605,0),MATCH("Net Unrestricted Assets",'Prior YTD Data Pull'!$A$1:$CB$1,0)),"")</f>
        <v>0</v>
      </c>
      <c r="AU45" s="38">
        <f>IFERROR(INDEX('Prior YTD Data Pull'!$A$2:$CB$605,MATCH('Prior YTD Data Table'!$C45,'Prior YTD Data Pull'!$A$2:$A$605,0),MATCH("Unrealized Gains/Losses",'Prior YTD Data Pull'!$A$1:$CB$1,0)),"")</f>
        <v>1000</v>
      </c>
      <c r="AV45" s="38">
        <f>IFERROR(INDEX('Prior YTD Data Pull'!$A$2:$CB$605,MATCH('Prior YTD Data Table'!$C45,'Prior YTD Data Pull'!$A$2:$A$605,0),MATCH("Salary and Benefit Expense",'Prior YTD Data Pull'!$A$1:$CB$1,0)),"")</f>
        <v>24828000</v>
      </c>
      <c r="AW45" s="47"/>
      <c r="AX45" s="47"/>
      <c r="AY45" s="47"/>
      <c r="AZ45" s="47"/>
    </row>
    <row r="46" spans="1:52" ht="34.200000000000003" x14ac:dyDescent="0.3">
      <c r="A46" s="14" t="str">
        <f>IFERROR(INDEX('Static Data Tab'!$N$2:$N$610,MATCH(D46,'Static Data Tab'!$D$2:$D$610,0)), "")</f>
        <v>Beth Israel Lahey Health</v>
      </c>
      <c r="B46" s="14" t="s">
        <v>101</v>
      </c>
      <c r="C46" s="14">
        <v>138</v>
      </c>
      <c r="D46" s="14">
        <v>16665</v>
      </c>
      <c r="E46" s="14" t="str">
        <f>IFERROR(INDEX('Prior YTD Data Pull'!$A$1:$CB$605,MATCH('Prior YTD Data Table'!$C46,'Prior YTD Data Pull'!$A$1:$A$605,0),MATCH("Organization Type",'Prior YTD Data Pull'!$A$1:$CB$1,0)),"")</f>
        <v>AcuteHospital</v>
      </c>
      <c r="F46" s="14" t="str">
        <f>IFERROR(INDEX('Static Data Tab'!$E$2:$E$610,MATCH('Prior YTD Data Table'!$C46,'Static Data Tab'!$B$2:$B$610,0)), "-")</f>
        <v>Community Hospital</v>
      </c>
      <c r="G46" s="46" t="str">
        <f>IFERROR(INDEX('Static Data Tab'!$J$2:$J$610,MATCH('Prior YTD Data Table'!$C46,'Static Data Tab'!$B$2:$B$610,0)), "")</f>
        <v>Northeastern Massachusetts</v>
      </c>
      <c r="H46" s="14">
        <f>IFERROR(INDEX('Static Data Tab'!$F$2:$F$610,MATCH('Prior YTD Data Table'!$C46,'Static Data Tab'!$B$2:$B$610,0)), "")</f>
        <v>0</v>
      </c>
      <c r="I46" s="14">
        <f>IFERROR(INDEX('Static Data Tab'!$G$2:$G$610,MATCH('Prior YTD Data Table'!$C46,'Static Data Tab'!$B$2:$B$610,0)), "")</f>
        <v>0</v>
      </c>
      <c r="J46" s="14" t="str">
        <f>IFERROR(INDEX('Prior YTD Data Pull'!$A$2:$CB$605,MATCH('Prior YTD Data Table'!$C46,'Prior YTD Data Pull'!$A$2:$A$605,0),MATCH("Quarter Range",'Prior YTD Data Pull'!$A$1:$CB$1,0)),"")</f>
        <v xml:space="preserve">10/01/2024-03/31/2025
</v>
      </c>
      <c r="K46" s="37">
        <f t="shared" si="2"/>
        <v>0.13645588075934154</v>
      </c>
      <c r="L46" s="37">
        <f t="shared" si="3"/>
        <v>-2.0687820784363948E-2</v>
      </c>
      <c r="M46" s="37">
        <f t="shared" si="4"/>
        <v>0.11576805997497759</v>
      </c>
      <c r="N46" s="38">
        <f t="shared" si="5"/>
        <v>23503000</v>
      </c>
      <c r="O46" s="39">
        <f t="shared" si="6"/>
        <v>8.1332162413472471</v>
      </c>
      <c r="P46" s="38">
        <f>IFERROR(INDEX('Prior YTD Data Pull'!$A$2:$CB$605,MATCH('Prior YTD Data Table'!$C46,'Prior YTD Data Pull'!$A$2:$A$605,0),MATCH("Total Net Assets or Equity",'Prior YTD Data Pull'!$A$1:$CB$1,0)),"")</f>
        <v>447200000</v>
      </c>
      <c r="Q46" s="38">
        <f>IFERROR(INDEX('Prior YTD Data Pull'!$A$2:$CB$605,MATCH('Prior YTD Data Table'!$C46,'Prior YTD Data Pull'!$A$2:$A$605,0),MATCH("Total Operating Revenue",'Prior YTD Data Pull'!$A$1:$CB$1,0)),"")</f>
        <v>207218000</v>
      </c>
      <c r="R46" s="38">
        <f>IFERROR(INDEX('Prior YTD Data Pull'!$A$2:$CB$605,MATCH('Prior YTD Data Table'!$C46,'Prior YTD Data Pull'!$A$2:$A$605,0),MATCH("Total Unrestricted Revenue Gains and Other Support",'Prior YTD Data Pull'!$A$1:$CB$1,0)),"")</f>
        <v>203018000</v>
      </c>
      <c r="S46" s="38">
        <f>IFERROR(INDEX('Prior YTD TS Data Pull'!$J$2:$J$128,MATCH('Prior YTD Data Table'!$C46, 'Prior YTD TS Data Pull'!$A$2:$A$128,0))+INDEX('Prior YTD TS Data Pull'!$N$2:$N$128,MATCH('Prior YTD Data Table'!$C46,'Prior YTD TS Data Pull'!$A$2:$A$609,0))+INDEX('Prior YTD TS Data Pull'!$R$2:$R$128,MATCH('Prior YTD Data Table'!$C46,'Prior YTD TS Data Pull'!$A$2:$A$609,0)),"")</f>
        <v>661965</v>
      </c>
      <c r="T46" s="38">
        <f>IF(INDEX('Prior YTD TS Data Pull'!$A$1:$O$609,MATCH('Prior YTD Data Table'!$C46,'Prior YTD TS Data Pull'!$A$1:$A$609,0),MATCH("Temporary RN Staffing:
Line Reported on in Standardized Financials",'Prior YTD TS Data Pull'!$A$1:$O$1,0))="66.1: Salary and Benefit Expense",'Prior YTD Data Table'!$AV46-'Prior YTD Data Table'!$S46,0)</f>
        <v>83396035</v>
      </c>
      <c r="U46" s="38">
        <f>IFERROR(INDEX('Prior YTD Data Pull'!$A$2:$CB$605,MATCH('Prior YTD Data Table'!$C46,'Prior YTD Data Pull'!$A$2:$A$605,0),MATCH("Total Expenses Including Nonrecurring Gains Losses",'Prior YTD Data Pull'!$A$1:$CB$1,0)),"")</f>
        <v>179515000</v>
      </c>
      <c r="V46" s="41">
        <f t="shared" si="7"/>
        <v>0</v>
      </c>
      <c r="W46" s="41" t="str">
        <f t="shared" si="8"/>
        <v/>
      </c>
      <c r="X46" s="41" t="str">
        <f t="shared" si="0"/>
        <v/>
      </c>
      <c r="Y46" s="37">
        <f t="shared" si="9"/>
        <v>0.57358712715855575</v>
      </c>
      <c r="Z46" s="41" t="str">
        <f t="shared" si="1"/>
        <v/>
      </c>
      <c r="AA46" s="39">
        <f t="shared" si="10"/>
        <v>0.5805206183270718</v>
      </c>
      <c r="AB46" s="37">
        <f t="shared" si="11"/>
        <v>0.77255695275344338</v>
      </c>
      <c r="AC46" s="37">
        <f t="shared" si="12"/>
        <v>0.13713585450119337</v>
      </c>
      <c r="AD46" s="38">
        <f>IFERROR(INDEX('Prior YTD Data Pull'!$A$2:$CB$605,MATCH('Prior YTD Data Table'!$C46,'Prior YTD Data Pull'!$A$2:$A$605,0),MATCH("Net Patient Service Revenue",'Prior YTD Data Pull'!$A$1:$CB$1,0)),"")</f>
        <v>192947000</v>
      </c>
      <c r="AE46" s="38">
        <f>IFERROR(INDEX('Prior YTD Data Pull'!$A$2:$CB$605,MATCH('Prior YTD Data Table'!$C46,'Prior YTD Data Pull'!$A$2:$A$605,0),MATCH("Total Current Assets",'Prior YTD Data Pull'!$A$1:$CB$1,0)),"")</f>
        <v>393607000</v>
      </c>
      <c r="AF46" s="38">
        <f>IFERROR(INDEX('Prior YTD Data Pull'!$A$2:$CB$605,MATCH('Prior YTD Data Table'!$C46,'Prior YTD Data Pull'!$A$2:$A$605,0),MATCH("Total Current Liabilities",'Prior YTD Data Pull'!$A$1:$CB$1,0)),"")</f>
        <v>48395000</v>
      </c>
      <c r="AG46" s="38">
        <f>IFERROR(INDEX('Prior YTD Data Pull'!$A$2:$CB$605,MATCH('Prior YTD Data Table'!$C46,'Prior YTD Data Pull'!$A$2:$A$605,0),MATCH("Total Non Operating Revenue",'Prior YTD Data Pull'!$A$1:$CB$1,0)),"")</f>
        <v>-4200000</v>
      </c>
      <c r="AH46" s="38">
        <f>IFERROR(INDEX('Prior YTD Data Pull'!$A$2:$CB$605,MATCH('Prior YTD Data Table'!$C46,'Prior Year Data Pull'!$A$2:$A$593,0),MATCH("Less Accumulated Depreciation",'Prior YTD Data Pull'!$A$1:$CB$1,0)),"")</f>
        <v>0</v>
      </c>
      <c r="AI46" s="38">
        <f>IFERROR(INDEX('Prior YTD Data Pull'!$A$2:$CB$605,MATCH('Prior YTD Data Table'!$C46,'Prior YTD Data Pull'!$A$2:$A$605,0),MATCH("Depreciation and Amortization Expense",'Prior YTD Data Pull'!$A$1:$CB$1,0)),"")</f>
        <v>8951000</v>
      </c>
      <c r="AJ46" s="38">
        <f>IFERROR(INDEX('Prior YTD Data Pull'!$A$2:$CB$605,MATCH('Prior YTD Data Table'!$C46,'Prior YTD Data Pull'!$A$2:$A$605,0),MATCH("Net Patient Accounts Receivable",'Prior YTD Data Pull'!$A$1:$CB$1,0)),"")</f>
        <v>42038000</v>
      </c>
      <c r="AK46" s="14" t="str">
        <f>IF('Prior YTD Data Pull'!$H46 = 6, "183", IF('Prior YTD Data Pull'!$H46 = 3, "93",""))</f>
        <v/>
      </c>
      <c r="AL46" s="38">
        <f>IFERROR(INDEX('Prior YTD Data Pull'!$A$2:$CB$605,MATCH('Prior YTD Data Table'!$C46,'Prior YTD Data Pull'!$A$2:$A$605,0),MATCH("Estimated Third Party Settlements",'Prior YTD Data Pull'!$A$1:$CB$1,0)),"")</f>
        <v>5803000</v>
      </c>
      <c r="AM46" s="38">
        <f>IFERROR(INDEX('Prior YTD Data Pull'!$A$2:$CB$605,MATCH('Prior YTD Data Table'!$C46,'Prior YTD Data Pull'!$A$2:$A$605,0),MATCH("Current Liabilities due to Affiliates",'Prior YTD Data Pull'!$A$1:$CB$1,0)),"")</f>
        <v>0</v>
      </c>
      <c r="AN46" s="38">
        <f>IFERROR(INDEX('Prior YTD Data Pull'!$A$2:$CB$605,MATCH('Prior YTD Data Table'!$C46,'Prior YTD Data Pull'!$A$2:$A$605,0),MATCH("Short Term Investments",'Prior YTD Data Pull'!$A$1:$CB$1,0)),"")</f>
        <v>231555000</v>
      </c>
      <c r="AO46" s="38">
        <f>IFERROR(INDEX('Prior YTD Data Pull'!$A$2:$CB$605,MATCH('Prior YTD Data Table'!$C46,'Prior YTD Data Pull'!$A$2:$A$605,0),MATCH("Cash and Cash Equivalents",'Prior YTD Data Pull'!$A$1:$CB$1,0)),"")</f>
        <v>1868000</v>
      </c>
      <c r="AP46" s="38">
        <f>IFERROR(INDEX('Prior YTD Data Pull'!$A$2:$CB$605,MATCH('Prior YTD Data Table'!$C46,'Prior YTD Data Pull'!$A$2:$A$605,0),MATCH("Interest Expense",'Prior YTD Data Pull'!$A$1:$CB$1,0)),"")</f>
        <v>1095000</v>
      </c>
      <c r="AQ46" s="38">
        <f>IFERROR(INDEX('Prior YTD Data Pull'!$A$2:$CB$605,MATCH('Prior YTD Data Table'!$C46,'Prior YTD Data Pull'!$A$2:$A$605,0),MATCH("Long Term Debt Net of Current Portion",'Prior YTD Data Pull'!$A$1:$CB$1,0)),"")</f>
        <v>66248000</v>
      </c>
      <c r="AR46" s="38">
        <f>IFERROR(INDEX('Prior YTD Data Pull'!$A$2:$CB$605,MATCH('Prior YTD Data Table'!$C46,'Prior YTD Data Pull'!$A$2:$A$605,0),MATCH("Total Assets",'Prior YTD Data Pull'!$A$1:$CB$1,0)),"")</f>
        <v>578857000</v>
      </c>
      <c r="AS46" s="38">
        <f>IFERROR(INDEX('Prior YTD Data Pull'!$A$2:$CB$605,MATCH('Prior YTD Data Table'!$C46,'Prior YTD Data Pull'!$A$2:$A$605,0),MATCH("Long Term Debt Net of Current Portion",'Prior YTD Data Pull'!$A$1:$CB$1,0)),"")</f>
        <v>66248000</v>
      </c>
      <c r="AT46" s="38">
        <f>IFERROR(INDEX('Prior YTD Data Pull'!$A$2:$CB$605,MATCH('Prior YTD Data Table'!$C46,'Prior YTD Data Pull'!$A$2:$A$605,0),MATCH("Net Unrestricted Assets",'Prior YTD Data Pull'!$A$1:$CB$1,0)),"")</f>
        <v>416835000</v>
      </c>
      <c r="AU46" s="38">
        <f>IFERROR(INDEX('Prior YTD Data Pull'!$A$2:$CB$605,MATCH('Prior YTD Data Table'!$C46,'Prior YTD Data Pull'!$A$2:$A$605,0),MATCH("Unrealized Gains/Losses",'Prior YTD Data Pull'!$A$1:$CB$1,0)),"")</f>
        <v>-5545000</v>
      </c>
      <c r="AV46" s="38">
        <f>IFERROR(INDEX('Prior YTD Data Pull'!$A$2:$CB$605,MATCH('Prior YTD Data Table'!$C46,'Prior YTD Data Pull'!$A$2:$A$605,0),MATCH("Salary and Benefit Expense",'Prior YTD Data Pull'!$A$1:$CB$1,0)),"")</f>
        <v>84058000</v>
      </c>
      <c r="AW46" s="38"/>
      <c r="AX46" s="38"/>
      <c r="AY46" s="38"/>
      <c r="AZ46" s="38"/>
    </row>
    <row r="47" spans="1:52" ht="34.200000000000003" x14ac:dyDescent="0.3">
      <c r="A47" s="14" t="str">
        <f>IFERROR(INDEX('Static Data Tab'!$N$2:$N$610,MATCH(D47,'Static Data Tab'!$D$2:$D$610,0)), "")</f>
        <v>Mass General Brigham</v>
      </c>
      <c r="B47" s="57" t="s">
        <v>146</v>
      </c>
      <c r="C47" s="57">
        <v>89</v>
      </c>
      <c r="D47" s="57">
        <v>3791</v>
      </c>
      <c r="E47" s="14" t="str">
        <f>IFERROR(INDEX('Prior YTD Data Pull'!$A$1:$CB$605,MATCH('Prior YTD Data Table'!$C47,'Prior YTD Data Pull'!$A$1:$A$605,0),MATCH("Organization Type",'Prior YTD Data Pull'!$A$1:$CB$1,0)),"")</f>
        <v>AcuteHospital</v>
      </c>
      <c r="F47" s="14" t="str">
        <f>IFERROR(INDEX('Static Data Tab'!$E$2:$E$610,MATCH('Prior YTD Data Table'!$C47,'Static Data Tab'!$B$2:$B$610,0)), "-")</f>
        <v>Specialty Hospital</v>
      </c>
      <c r="G47" s="46" t="str">
        <f>IFERROR(INDEX('Static Data Tab'!$J$2:$J$610,MATCH('Prior YTD Data Table'!$C47,'Static Data Tab'!$B$2:$B$610,0)), "")</f>
        <v>Metro Boston</v>
      </c>
      <c r="H47" s="14">
        <f>IFERROR(INDEX('Static Data Tab'!$F$2:$F$610,MATCH('Prior YTD Data Table'!$C47,'Static Data Tab'!$B$2:$B$610,0)), "")</f>
        <v>0</v>
      </c>
      <c r="I47" s="14" t="str">
        <f>IFERROR(INDEX('Static Data Tab'!$G$2:$G$610,MATCH('Prior YTD Data Table'!$C47,'Static Data Tab'!$B$2:$B$610,0)), "")</f>
        <v>x</v>
      </c>
      <c r="J47" s="14" t="str">
        <f>IFERROR(INDEX('Prior YTD Data Pull'!$A$2:$CB$605,MATCH('Prior YTD Data Table'!$C47,'Prior YTD Data Pull'!$A$2:$A$605,0),MATCH("Quarter Range",'Prior YTD Data Pull'!$A$1:$CB$1,0)),"")</f>
        <v xml:space="preserve">10/01/2024-03/31/2025
</v>
      </c>
      <c r="K47" s="37">
        <f t="shared" si="2"/>
        <v>1.9871075426630982E-2</v>
      </c>
      <c r="L47" s="37">
        <f t="shared" si="3"/>
        <v>4.5564860379675192E-4</v>
      </c>
      <c r="M47" s="37">
        <f t="shared" si="4"/>
        <v>2.0326724030427734E-2</v>
      </c>
      <c r="N47" s="38">
        <f t="shared" si="5"/>
        <v>4238000</v>
      </c>
      <c r="O47" s="39" t="str">
        <f t="shared" si="6"/>
        <v/>
      </c>
      <c r="P47" s="38">
        <f>IFERROR(INDEX('Prior YTD Data Pull'!$A$2:$CB$605,MATCH('Prior YTD Data Table'!$C47,'Prior YTD Data Pull'!$A$2:$A$605,0),MATCH("Total Net Assets or Equity",'Prior YTD Data Pull'!$A$1:$CB$1,0)),"")</f>
        <v>0</v>
      </c>
      <c r="Q47" s="38">
        <f>IFERROR(INDEX('Prior YTD Data Pull'!$A$2:$CB$605,MATCH('Prior YTD Data Table'!$C47,'Prior YTD Data Pull'!$A$2:$A$605,0),MATCH("Total Operating Revenue",'Prior YTD Data Pull'!$A$1:$CB$1,0)),"")</f>
        <v>208399000</v>
      </c>
      <c r="R47" s="38">
        <f>IFERROR(INDEX('Prior YTD Data Pull'!$A$2:$CB$605,MATCH('Prior YTD Data Table'!$C47,'Prior YTD Data Pull'!$A$2:$A$605,0),MATCH("Total Unrestricted Revenue Gains and Other Support",'Prior YTD Data Pull'!$A$1:$CB$1,0)),"")</f>
        <v>208494000</v>
      </c>
      <c r="S47" s="38">
        <f>IFERROR(INDEX('Prior YTD TS Data Pull'!$J$2:$J$128,MATCH('Prior YTD Data Table'!$C47, 'Prior YTD TS Data Pull'!$A$2:$A$128,0))+INDEX('Prior YTD TS Data Pull'!$N$2:$N$128,MATCH('Prior YTD Data Table'!$C47,'Prior YTD TS Data Pull'!$A$2:$A$609,0))+INDEX('Prior YTD TS Data Pull'!$R$2:$R$128,MATCH('Prior YTD Data Table'!$C47,'Prior YTD TS Data Pull'!$A$2:$A$609,0)),"")</f>
        <v>1059053</v>
      </c>
      <c r="T47" s="38">
        <f>IF(INDEX('Prior YTD TS Data Pull'!$A$1:$O$609,MATCH('Prior YTD Data Table'!$C47,'Prior YTD TS Data Pull'!$A$1:$A$609,0),MATCH("Temporary RN Staffing:
Line Reported on in Standardized Financials",'Prior YTD TS Data Pull'!$A$1:$O$1,0))="66.1: Salary and Benefit Expense",'Prior YTD Data Table'!$AV47-'Prior YTD Data Table'!$S47,0)</f>
        <v>0</v>
      </c>
      <c r="U47" s="38">
        <f>IFERROR(INDEX('Prior YTD Data Pull'!$A$2:$CB$605,MATCH('Prior YTD Data Table'!$C47,'Prior YTD Data Pull'!$A$2:$A$605,0),MATCH("Total Expenses Including Nonrecurring Gains Losses",'Prior YTD Data Pull'!$A$1:$CB$1,0)),"")</f>
        <v>204256000</v>
      </c>
      <c r="V47" s="41">
        <f t="shared" si="7"/>
        <v>17.184938105955677</v>
      </c>
      <c r="W47" s="41">
        <f t="shared" si="8"/>
        <v>0</v>
      </c>
      <c r="X47" s="41">
        <f t="shared" si="0"/>
        <v>0</v>
      </c>
      <c r="Y47" s="37" t="str">
        <f t="shared" si="9"/>
        <v/>
      </c>
      <c r="Z47" s="41">
        <f t="shared" si="1"/>
        <v>0</v>
      </c>
      <c r="AA47" s="39">
        <f t="shared" si="10"/>
        <v>7.2927605409705647</v>
      </c>
      <c r="AB47" s="37" t="str">
        <f t="shared" si="11"/>
        <v/>
      </c>
      <c r="AC47" s="37" t="str">
        <f t="shared" si="12"/>
        <v/>
      </c>
      <c r="AD47" s="38">
        <f>IFERROR(INDEX('Prior YTD Data Pull'!$A$2:$CB$605,MATCH('Prior YTD Data Table'!$C47,'Prior YTD Data Pull'!$A$2:$A$605,0),MATCH("Net Patient Service Revenue",'Prior YTD Data Pull'!$A$1:$CB$1,0)),"")</f>
        <v>167542000</v>
      </c>
      <c r="AE47" s="38">
        <f>IFERROR(INDEX('Prior YTD Data Pull'!$A$2:$CB$605,MATCH('Prior YTD Data Table'!$C47,'Prior YTD Data Pull'!$A$2:$A$605,0),MATCH("Total Current Assets",'Prior YTD Data Pull'!$A$1:$CB$1,0)),"")</f>
        <v>0</v>
      </c>
      <c r="AF47" s="38">
        <f>IFERROR(INDEX('Prior YTD Data Pull'!$A$2:$CB$605,MATCH('Prior YTD Data Table'!$C47,'Prior YTD Data Pull'!$A$2:$A$605,0),MATCH("Total Current Liabilities",'Prior YTD Data Pull'!$A$1:$CB$1,0)),"")</f>
        <v>0</v>
      </c>
      <c r="AG47" s="38">
        <f>IFERROR(INDEX('Prior YTD Data Pull'!$A$2:$CB$605,MATCH('Prior YTD Data Table'!$C47,'Prior YTD Data Pull'!$A$2:$A$605,0),MATCH("Total Non Operating Revenue",'Prior YTD Data Pull'!$A$1:$CB$1,0)),"")</f>
        <v>95000</v>
      </c>
      <c r="AH47" s="38">
        <f>IFERROR(INDEX('Prior YTD Data Pull'!$A$2:$CB$605,MATCH('Prior YTD Data Table'!$C47,'Prior Year Data Pull'!$A$2:$A$593,0),MATCH("Less Accumulated Depreciation",'Prior YTD Data Pull'!$A$1:$CB$1,0)),"")</f>
        <v>198520405</v>
      </c>
      <c r="AI47" s="38">
        <f>IFERROR(INDEX('Prior YTD Data Pull'!$A$2:$CB$605,MATCH('Prior YTD Data Table'!$C47,'Prior YTD Data Pull'!$A$2:$A$605,0),MATCH("Depreciation and Amortization Expense",'Prior YTD Data Pull'!$A$1:$CB$1,0)),"")</f>
        <v>11552000</v>
      </c>
      <c r="AJ47" s="38">
        <f>IFERROR(INDEX('Prior YTD Data Pull'!$A$2:$CB$605,MATCH('Prior YTD Data Table'!$C47,'Prior YTD Data Pull'!$A$2:$A$605,0),MATCH("Net Patient Accounts Receivable",'Prior YTD Data Pull'!$A$1:$CB$1,0)),"")</f>
        <v>0</v>
      </c>
      <c r="AK47" s="14" t="str">
        <f>IF('Prior YTD Data Pull'!$H47 = 6, "183", IF('Prior YTD Data Pull'!$H47 = 3, "93",""))</f>
        <v>183</v>
      </c>
      <c r="AL47" s="38">
        <f>IFERROR(INDEX('Prior YTD Data Pull'!$A$2:$CB$605,MATCH('Prior YTD Data Table'!$C47,'Prior YTD Data Pull'!$A$2:$A$605,0),MATCH("Estimated Third Party Settlements",'Prior YTD Data Pull'!$A$1:$CB$1,0)),"")</f>
        <v>0</v>
      </c>
      <c r="AM47" s="38">
        <f>IFERROR(INDEX('Prior YTD Data Pull'!$A$2:$CB$605,MATCH('Prior YTD Data Table'!$C47,'Prior YTD Data Pull'!$A$2:$A$605,0),MATCH("Current Liabilities due to Affiliates",'Prior YTD Data Pull'!$A$1:$CB$1,0)),"")</f>
        <v>0</v>
      </c>
      <c r="AN47" s="38">
        <f>IFERROR(INDEX('Prior YTD Data Pull'!$A$2:$CB$605,MATCH('Prior YTD Data Table'!$C47,'Prior YTD Data Pull'!$A$2:$A$605,0),MATCH("Short Term Investments",'Prior YTD Data Pull'!$A$1:$CB$1,0)),"")</f>
        <v>0</v>
      </c>
      <c r="AO47" s="38">
        <f>IFERROR(INDEX('Prior YTD Data Pull'!$A$2:$CB$605,MATCH('Prior YTD Data Table'!$C47,'Prior YTD Data Pull'!$A$2:$A$605,0),MATCH("Cash and Cash Equivalents",'Prior YTD Data Pull'!$A$1:$CB$1,0)),"")</f>
        <v>0</v>
      </c>
      <c r="AP47" s="38">
        <f>IFERROR(INDEX('Prior YTD Data Pull'!$A$2:$CB$605,MATCH('Prior YTD Data Table'!$C47,'Prior YTD Data Pull'!$A$2:$A$605,0),MATCH("Interest Expense",'Prior YTD Data Pull'!$A$1:$CB$1,0)),"")</f>
        <v>2514000</v>
      </c>
      <c r="AQ47" s="38">
        <f>IFERROR(INDEX('Prior YTD Data Pull'!$A$2:$CB$605,MATCH('Prior YTD Data Table'!$C47,'Prior YTD Data Pull'!$A$2:$A$605,0),MATCH("Long Term Debt Net of Current Portion",'Prior YTD Data Pull'!$A$1:$CB$1,0)),"")</f>
        <v>0</v>
      </c>
      <c r="AR47" s="38">
        <f>IFERROR(INDEX('Prior YTD Data Pull'!$A$2:$CB$605,MATCH('Prior YTD Data Table'!$C47,'Prior YTD Data Pull'!$A$2:$A$605,0),MATCH("Total Assets",'Prior YTD Data Pull'!$A$1:$CB$1,0)),"")</f>
        <v>0</v>
      </c>
      <c r="AS47" s="38">
        <f>IFERROR(INDEX('Prior YTD Data Pull'!$A$2:$CB$605,MATCH('Prior YTD Data Table'!$C47,'Prior YTD Data Pull'!$A$2:$A$605,0),MATCH("Long Term Debt Net of Current Portion",'Prior YTD Data Pull'!$A$1:$CB$1,0)),"")</f>
        <v>0</v>
      </c>
      <c r="AT47" s="38">
        <f>IFERROR(INDEX('Prior YTD Data Pull'!$A$2:$CB$605,MATCH('Prior YTD Data Table'!$C47,'Prior YTD Data Pull'!$A$2:$A$605,0),MATCH("Net Unrestricted Assets",'Prior YTD Data Pull'!$A$1:$CB$1,0)),"")</f>
        <v>0</v>
      </c>
      <c r="AU47" s="38">
        <f>IFERROR(INDEX('Prior YTD Data Pull'!$A$2:$CB$605,MATCH('Prior YTD Data Table'!$C47,'Prior YTD Data Pull'!$A$2:$A$605,0),MATCH("Unrealized Gains/Losses",'Prior YTD Data Pull'!$A$1:$CB$1,0)),"")</f>
        <v>-30000</v>
      </c>
      <c r="AV47" s="38">
        <f>IFERROR(INDEX('Prior YTD Data Pull'!$A$2:$CB$605,MATCH('Prior YTD Data Table'!$C47,'Prior YTD Data Pull'!$A$2:$A$605,0),MATCH("Salary and Benefit Expense",'Prior YTD Data Pull'!$A$1:$CB$1,0)),"")</f>
        <v>68421000</v>
      </c>
      <c r="AW47" s="47"/>
      <c r="AX47" s="47"/>
      <c r="AY47" s="47"/>
      <c r="AZ47" s="47"/>
    </row>
    <row r="48" spans="1:52" ht="34.200000000000003" x14ac:dyDescent="0.3">
      <c r="A48" s="14" t="str">
        <f>IFERROR(INDEX('Static Data Tab'!$N$2:$N$610,MATCH(D48,'Static Data Tab'!$D$2:$D$610,0)), "")</f>
        <v>Beth Israel Lahey Health</v>
      </c>
      <c r="B48" s="57" t="s">
        <v>91</v>
      </c>
      <c r="C48" s="57">
        <v>1</v>
      </c>
      <c r="D48" s="57">
        <v>16665</v>
      </c>
      <c r="E48" s="14" t="str">
        <f>IFERROR(INDEX('Prior YTD Data Pull'!$A$1:$CB$605,MATCH('Prior YTD Data Table'!$C48,'Prior YTD Data Pull'!$A$1:$A$605,0),MATCH("Organization Type",'Prior YTD Data Pull'!$A$1:$CB$1,0)),"")</f>
        <v>AcuteHospital</v>
      </c>
      <c r="F48" s="14" t="str">
        <f>IFERROR(INDEX('Static Data Tab'!$E$2:$E$610,MATCH('Prior YTD Data Table'!$C48,'Static Data Tab'!$B$2:$B$610,0)), "-")</f>
        <v>Community-High Public Payer Hospital</v>
      </c>
      <c r="G48" s="46" t="str">
        <f>IFERROR(INDEX('Static Data Tab'!$J$2:$J$610,MATCH('Prior YTD Data Table'!$C48,'Static Data Tab'!$B$2:$B$610,0)), "")</f>
        <v>Northeastern Massachusetts</v>
      </c>
      <c r="H48" s="14" t="str">
        <f>IFERROR(INDEX('Static Data Tab'!$F$2:$F$610,MATCH('Prior YTD Data Table'!$C48,'Static Data Tab'!$B$2:$B$610,0)), "")</f>
        <v>x</v>
      </c>
      <c r="I48" s="14">
        <f>IFERROR(INDEX('Static Data Tab'!$G$2:$G$610,MATCH('Prior YTD Data Table'!$C48,'Static Data Tab'!$B$2:$B$610,0)), "")</f>
        <v>0</v>
      </c>
      <c r="J48" s="14" t="str">
        <f>IFERROR(INDEX('Prior YTD Data Pull'!$A$2:$CB$605,MATCH('Prior YTD Data Table'!$C48,'Prior YTD Data Pull'!$A$2:$A$605,0),MATCH("Quarter Range",'Prior YTD Data Pull'!$A$1:$CB$1,0)),"")</f>
        <v xml:space="preserve">10/01/2024-03/31/2025
</v>
      </c>
      <c r="K48" s="37">
        <f t="shared" si="2"/>
        <v>-0.16496601094000318</v>
      </c>
      <c r="L48" s="37">
        <f t="shared" si="3"/>
        <v>-2.1793410019195522E-3</v>
      </c>
      <c r="M48" s="37">
        <f t="shared" si="4"/>
        <v>-0.16714535194192273</v>
      </c>
      <c r="N48" s="38">
        <f t="shared" si="5"/>
        <v>-11581000</v>
      </c>
      <c r="O48" s="39">
        <f t="shared" si="6"/>
        <v>0.54709143089281731</v>
      </c>
      <c r="P48" s="38">
        <f>IFERROR(INDEX('Prior YTD Data Pull'!$A$2:$CB$605,MATCH('Prior YTD Data Table'!$C48,'Prior YTD Data Pull'!$A$2:$A$605,0),MATCH("Total Net Assets or Equity",'Prior YTD Data Pull'!$A$1:$CB$1,0)),"")</f>
        <v>-8565000</v>
      </c>
      <c r="Q48" s="38">
        <f>IFERROR(INDEX('Prior YTD Data Pull'!$A$2:$CB$605,MATCH('Prior YTD Data Table'!$C48,'Prior YTD Data Pull'!$A$2:$A$605,0),MATCH("Total Operating Revenue",'Prior YTD Data Pull'!$A$1:$CB$1,0)),"")</f>
        <v>69438000</v>
      </c>
      <c r="R48" s="38">
        <f>IFERROR(INDEX('Prior YTD Data Pull'!$A$2:$CB$605,MATCH('Prior YTD Data Table'!$C48,'Prior YTD Data Pull'!$A$2:$A$605,0),MATCH("Total Unrestricted Revenue Gains and Other Support",'Prior YTD Data Pull'!$A$1:$CB$1,0)),"")</f>
        <v>69287000</v>
      </c>
      <c r="S48" s="38">
        <f>IFERROR(INDEX('Prior YTD TS Data Pull'!$J$2:$J$128,MATCH('Prior YTD Data Table'!$C48, 'Prior YTD TS Data Pull'!$A$2:$A$128,0))+INDEX('Prior YTD TS Data Pull'!$N$2:$N$128,MATCH('Prior YTD Data Table'!$C48,'Prior YTD TS Data Pull'!$A$2:$A$609,0))+INDEX('Prior YTD TS Data Pull'!$R$2:$R$128,MATCH('Prior YTD Data Table'!$C48,'Prior YTD TS Data Pull'!$A$2:$A$609,0)),"")</f>
        <v>606326.84000000008</v>
      </c>
      <c r="T48" s="38">
        <f>IF(INDEX('Prior YTD TS Data Pull'!$A$1:$O$609,MATCH('Prior YTD Data Table'!$C48,'Prior YTD TS Data Pull'!$A$1:$A$609,0),MATCH("Temporary RN Staffing:
Line Reported on in Standardized Financials",'Prior YTD TS Data Pull'!$A$1:$O$1,0))="66.1: Salary and Benefit Expense",'Prior YTD Data Table'!$AV48-'Prior YTD Data Table'!$S48,0)</f>
        <v>37501673.159999996</v>
      </c>
      <c r="U48" s="38">
        <f>IFERROR(INDEX('Prior YTD Data Pull'!$A$2:$CB$605,MATCH('Prior YTD Data Table'!$C48,'Prior YTD Data Pull'!$A$2:$A$605,0),MATCH("Total Expenses Including Nonrecurring Gains Losses",'Prior YTD Data Pull'!$A$1:$CB$1,0)),"")</f>
        <v>80868000</v>
      </c>
      <c r="V48" s="41">
        <f t="shared" si="7"/>
        <v>9.8205349439171705</v>
      </c>
      <c r="W48" s="41">
        <f t="shared" si="8"/>
        <v>23.171432670237184</v>
      </c>
      <c r="X48" s="41">
        <f t="shared" si="0"/>
        <v>87.021591657944725</v>
      </c>
      <c r="Y48" s="37">
        <f t="shared" si="9"/>
        <v>-0.10816686492473029</v>
      </c>
      <c r="Z48" s="41">
        <f t="shared" si="1"/>
        <v>22.776834515641355</v>
      </c>
      <c r="AA48" s="39">
        <f t="shared" si="10"/>
        <v>-0.50420223243598161</v>
      </c>
      <c r="AB48" s="37">
        <f t="shared" si="11"/>
        <v>-7.9283532352124417E-2</v>
      </c>
      <c r="AC48" s="37">
        <f t="shared" si="12"/>
        <v>-1.3660624829219419</v>
      </c>
      <c r="AD48" s="38">
        <f>IFERROR(INDEX('Prior YTD Data Pull'!$A$2:$CB$605,MATCH('Prior YTD Data Table'!$C48,'Prior YTD Data Pull'!$A$2:$A$605,0),MATCH("Net Patient Service Revenue",'Prior YTD Data Pull'!$A$1:$CB$1,0)),"")</f>
        <v>62736000</v>
      </c>
      <c r="AE48" s="38">
        <f>IFERROR(INDEX('Prior YTD Data Pull'!$A$2:$CB$605,MATCH('Prior YTD Data Table'!$C48,'Prior YTD Data Pull'!$A$2:$A$605,0),MATCH("Total Current Assets",'Prior YTD Data Pull'!$A$1:$CB$1,0)),"")</f>
        <v>41748000</v>
      </c>
      <c r="AF48" s="38">
        <f>IFERROR(INDEX('Prior YTD Data Pull'!$A$2:$CB$605,MATCH('Prior YTD Data Table'!$C48,'Prior YTD Data Pull'!$A$2:$A$605,0),MATCH("Total Current Liabilities",'Prior YTD Data Pull'!$A$1:$CB$1,0)),"")</f>
        <v>76309000</v>
      </c>
      <c r="AG48" s="38">
        <f>IFERROR(INDEX('Prior YTD Data Pull'!$A$2:$CB$605,MATCH('Prior YTD Data Table'!$C48,'Prior YTD Data Pull'!$A$2:$A$605,0),MATCH("Total Non Operating Revenue",'Prior YTD Data Pull'!$A$1:$CB$1,0)),"")</f>
        <v>-151000</v>
      </c>
      <c r="AH48" s="38">
        <f>IFERROR(INDEX('Prior YTD Data Pull'!$A$2:$CB$605,MATCH('Prior YTD Data Table'!$C48,'Prior Year Data Pull'!$A$2:$A$593,0),MATCH("Less Accumulated Depreciation",'Prior YTD Data Pull'!$A$1:$CB$1,0)),"")</f>
        <v>34146000</v>
      </c>
      <c r="AI48" s="38">
        <f>IFERROR(INDEX('Prior YTD Data Pull'!$A$2:$CB$605,MATCH('Prior YTD Data Table'!$C48,'Prior YTD Data Pull'!$A$2:$A$605,0),MATCH("Depreciation and Amortization Expense",'Prior YTD Data Pull'!$A$1:$CB$1,0)),"")</f>
        <v>3477000</v>
      </c>
      <c r="AJ48" s="38">
        <f>IFERROR(INDEX('Prior YTD Data Pull'!$A$2:$CB$605,MATCH('Prior YTD Data Table'!$C48,'Prior YTD Data Pull'!$A$2:$A$605,0),MATCH("Net Patient Accounts Receivable",'Prior YTD Data Pull'!$A$1:$CB$1,0)),"")</f>
        <v>15631000</v>
      </c>
      <c r="AK48" s="14" t="str">
        <f>IF('Prior YTD Data Pull'!$H48 = 6, "183", IF('Prior YTD Data Pull'!$H48 = 3, "93",""))</f>
        <v>93</v>
      </c>
      <c r="AL48" s="38">
        <f>IFERROR(INDEX('Prior YTD Data Pull'!$A$2:$CB$605,MATCH('Prior YTD Data Table'!$C48,'Prior YTD Data Pull'!$A$2:$A$605,0),MATCH("Estimated Third Party Settlements",'Prior YTD Data Pull'!$A$1:$CB$1,0)),"")</f>
        <v>3893000</v>
      </c>
      <c r="AM48" s="38">
        <f>IFERROR(INDEX('Prior YTD Data Pull'!$A$2:$CB$605,MATCH('Prior YTD Data Table'!$C48,'Prior YTD Data Pull'!$A$2:$A$605,0),MATCH("Current Liabilities due to Affiliates",'Prior YTD Data Pull'!$A$1:$CB$1,0)),"")</f>
        <v>58139000</v>
      </c>
      <c r="AN48" s="38">
        <f>IFERROR(INDEX('Prior YTD Data Pull'!$A$2:$CB$605,MATCH('Prior YTD Data Table'!$C48,'Prior YTD Data Pull'!$A$2:$A$605,0),MATCH("Short Term Investments",'Prior YTD Data Pull'!$A$1:$CB$1,0)),"")</f>
        <v>17787000</v>
      </c>
      <c r="AO48" s="38">
        <f>IFERROR(INDEX('Prior YTD Data Pull'!$A$2:$CB$605,MATCH('Prior YTD Data Table'!$C48,'Prior YTD Data Pull'!$A$2:$A$605,0),MATCH("Cash and Cash Equivalents",'Prior YTD Data Pull'!$A$1:$CB$1,0)),"")</f>
        <v>1167000</v>
      </c>
      <c r="AP48" s="38">
        <f>IFERROR(INDEX('Prior YTD Data Pull'!$A$2:$CB$605,MATCH('Prior YTD Data Table'!$C48,'Prior YTD Data Pull'!$A$2:$A$605,0),MATCH("Interest Expense",'Prior YTD Data Pull'!$A$1:$CB$1,0)),"")</f>
        <v>232000</v>
      </c>
      <c r="AQ48" s="38">
        <f>IFERROR(INDEX('Prior YTD Data Pull'!$A$2:$CB$605,MATCH('Prior YTD Data Table'!$C48,'Prior YTD Data Pull'!$A$2:$A$605,0),MATCH("Long Term Debt Net of Current Portion",'Prior YTD Data Pull'!$A$1:$CB$1,0)),"")</f>
        <v>14998000</v>
      </c>
      <c r="AR48" s="38">
        <f>IFERROR(INDEX('Prior YTD Data Pull'!$A$2:$CB$605,MATCH('Prior YTD Data Table'!$C48,'Prior YTD Data Pull'!$A$2:$A$605,0),MATCH("Total Assets",'Prior YTD Data Pull'!$A$1:$CB$1,0)),"")</f>
        <v>108030000</v>
      </c>
      <c r="AS48" s="38">
        <f>IFERROR(INDEX('Prior YTD Data Pull'!$A$2:$CB$605,MATCH('Prior YTD Data Table'!$C48,'Prior YTD Data Pull'!$A$2:$A$605,0),MATCH("Long Term Debt Net of Current Portion",'Prior YTD Data Pull'!$A$1:$CB$1,0)),"")</f>
        <v>14998000</v>
      </c>
      <c r="AT48" s="38">
        <f>IFERROR(INDEX('Prior YTD Data Pull'!$A$2:$CB$605,MATCH('Prior YTD Data Table'!$C48,'Prior YTD Data Pull'!$A$2:$A$605,0),MATCH("Net Unrestricted Assets",'Prior YTD Data Pull'!$A$1:$CB$1,0)),"")</f>
        <v>-25977000</v>
      </c>
      <c r="AU48" s="38">
        <f>IFERROR(INDEX('Prior YTD Data Pull'!$A$2:$CB$605,MATCH('Prior YTD Data Table'!$C48,'Prior YTD Data Pull'!$A$2:$A$605,0),MATCH("Unrealized Gains/Losses",'Prior YTD Data Pull'!$A$1:$CB$1,0)),"")</f>
        <v>-193000</v>
      </c>
      <c r="AV48" s="38">
        <f>IFERROR(INDEX('Prior YTD Data Pull'!$A$2:$CB$605,MATCH('Prior YTD Data Table'!$C48,'Prior YTD Data Pull'!$A$2:$A$605,0),MATCH("Salary and Benefit Expense",'Prior YTD Data Pull'!$A$1:$CB$1,0)),"")</f>
        <v>38108000</v>
      </c>
      <c r="AW48" s="38"/>
      <c r="AX48" s="38"/>
      <c r="AY48" s="38"/>
      <c r="AZ48" s="38"/>
    </row>
    <row r="49" spans="1:52" ht="34.200000000000003" x14ac:dyDescent="0.3">
      <c r="A49" s="14" t="str">
        <f>IFERROR(INDEX('Static Data Tab'!$N$2:$N$610,MATCH(D49,'Static Data Tab'!$D$2:$D$610,0)), "")</f>
        <v>Sturdy Memorial Foundation</v>
      </c>
      <c r="B49" s="14" t="s">
        <v>179</v>
      </c>
      <c r="C49" s="14">
        <v>12773</v>
      </c>
      <c r="D49" s="14">
        <v>12773</v>
      </c>
      <c r="E49" s="14" t="str">
        <f>IFERROR(INDEX('Prior YTD Data Pull'!$A$1:$CB$605,MATCH('Prior YTD Data Table'!$C49,'Prior YTD Data Pull'!$A$1:$A$605,0),MATCH("Organization Type",'Prior YTD Data Pull'!$A$1:$CB$1,0)),"")</f>
        <v>HHS</v>
      </c>
      <c r="F49" s="14" t="str">
        <f>IFERROR(INDEX('Static Data Tab'!$E$2:$E$610,MATCH('Prior YTD Data Table'!$C49,'Static Data Tab'!$B$2:$B$610,0)), "-")</f>
        <v>-</v>
      </c>
      <c r="G49" s="46" t="str">
        <f>IFERROR(INDEX('Static Data Tab'!$J$2:$J$610,MATCH('Prior YTD Data Table'!$C49,'Static Data Tab'!$B$2:$B$610,0)), "")</f>
        <v/>
      </c>
      <c r="H49" s="14" t="str">
        <f>IFERROR(INDEX('Static Data Tab'!$F$2:$F$610,MATCH('Prior YTD Data Table'!$C49,'Static Data Tab'!$B$2:$B$610,0)), "")</f>
        <v/>
      </c>
      <c r="I49" s="14" t="str">
        <f>IFERROR(INDEX('Static Data Tab'!$G$2:$G$610,MATCH('Prior YTD Data Table'!$C49,'Static Data Tab'!$B$2:$B$610,0)), "")</f>
        <v/>
      </c>
      <c r="J49" s="14" t="str">
        <f>IFERROR(INDEX('Prior YTD Data Pull'!$A$2:$CB$605,MATCH('Prior YTD Data Table'!$C49,'Prior YTD Data Pull'!$A$2:$A$605,0),MATCH("Quarter Range",'Prior YTD Data Pull'!$A$1:$CB$1,0)),"")</f>
        <v xml:space="preserve">10/01/2024-03/31/2025
</v>
      </c>
      <c r="K49" s="37">
        <f t="shared" si="2"/>
        <v>-5.8716016068070365E-2</v>
      </c>
      <c r="L49" s="37">
        <f t="shared" si="3"/>
        <v>5.6726757863643749E-2</v>
      </c>
      <c r="M49" s="37">
        <f t="shared" si="4"/>
        <v>-1.9892582044266126E-3</v>
      </c>
      <c r="N49" s="38">
        <f t="shared" si="5"/>
        <v>-348342</v>
      </c>
      <c r="O49" s="39">
        <f t="shared" si="6"/>
        <v>1.8174516808363443</v>
      </c>
      <c r="P49" s="38">
        <f>IFERROR(INDEX('Prior YTD Data Pull'!$A$2:$CB$605,MATCH('Prior YTD Data Table'!$C49,'Prior YTD Data Pull'!$A$2:$A$605,0),MATCH("Total Net Assets or Equity",'Prior YTD Data Pull'!$A$1:$CB$1,0)),"")</f>
        <v>635986381</v>
      </c>
      <c r="Q49" s="38">
        <f>IFERROR(INDEX('Prior YTD Data Pull'!$A$2:$CB$605,MATCH('Prior YTD Data Table'!$C49,'Prior YTD Data Pull'!$A$2:$A$605,0),MATCH("Total Operating Revenue",'Prior YTD Data Pull'!$A$1:$CB$1,0)),"")</f>
        <v>165177998</v>
      </c>
      <c r="R49" s="38">
        <f>IFERROR(INDEX('Prior YTD Data Pull'!$A$2:$CB$605,MATCH('Prior YTD Data Table'!$C49,'Prior YTD Data Pull'!$A$2:$A$605,0),MATCH("Total Unrestricted Revenue Gains and Other Support",'Prior YTD Data Pull'!$A$1:$CB$1,0)),"")</f>
        <v>175111506</v>
      </c>
      <c r="S49" s="38">
        <f>IFERROR(INDEX('Prior YTD TS Data Pull'!$J$2:$J$128,MATCH('Prior YTD Data Table'!$C49, 'Prior YTD TS Data Pull'!$A$2:$A$128,0))+INDEX('Prior YTD TS Data Pull'!$N$2:$N$128,MATCH('Prior YTD Data Table'!$C49,'Prior YTD TS Data Pull'!$A$2:$A$609,0))+INDEX('Prior YTD TS Data Pull'!$R$2:$R$128,MATCH('Prior YTD Data Table'!$C49,'Prior YTD TS Data Pull'!$A$2:$A$609,0)),"")</f>
        <v>240549.6</v>
      </c>
      <c r="T49" s="38">
        <f>IF(INDEX('Prior YTD TS Data Pull'!$A$1:$O$609,MATCH('Prior YTD Data Table'!$C49,'Prior YTD TS Data Pull'!$A$1:$A$609,0),MATCH("Temporary RN Staffing:
Line Reported on in Standardized Financials",'Prior YTD TS Data Pull'!$A$1:$O$1,0))="66.1: Salary and Benefit Expense",'Prior YTD Data Table'!$AV49-'Prior YTD Data Table'!$S49,0)</f>
        <v>0</v>
      </c>
      <c r="U49" s="38">
        <f>IFERROR(INDEX('Prior YTD Data Pull'!$A$2:$CB$605,MATCH('Prior YTD Data Table'!$C49,'Prior YTD Data Pull'!$A$2:$A$605,0),MATCH("Total Expenses Including Nonrecurring Gains Losses",'Prior YTD Data Pull'!$A$1:$CB$1,0)),"")</f>
        <v>175459848</v>
      </c>
      <c r="V49" s="41">
        <f t="shared" si="7"/>
        <v>9.3569166493395155</v>
      </c>
      <c r="W49" s="41">
        <f t="shared" si="8"/>
        <v>40.389977193805386</v>
      </c>
      <c r="X49" s="41">
        <f t="shared" si="0"/>
        <v>44.314276994066915</v>
      </c>
      <c r="Y49" s="37">
        <f t="shared" si="9"/>
        <v>0.15289204001185555</v>
      </c>
      <c r="Z49" s="41">
        <f t="shared" si="1"/>
        <v>25.710991768472748</v>
      </c>
      <c r="AA49" s="39">
        <f t="shared" si="10"/>
        <v>0.15289204001185555</v>
      </c>
      <c r="AB49" s="37">
        <f t="shared" si="11"/>
        <v>0.85448027662848947</v>
      </c>
      <c r="AC49" s="37">
        <f t="shared" si="12"/>
        <v>7.2166719094972381E-2</v>
      </c>
      <c r="AD49" s="38">
        <f>IFERROR(INDEX('Prior YTD Data Pull'!$A$2:$CB$605,MATCH('Prior YTD Data Table'!$C49,'Prior YTD Data Pull'!$A$2:$A$605,0),MATCH("Net Patient Service Revenue",'Prior YTD Data Pull'!$A$1:$CB$1,0)),"")</f>
        <v>157658481</v>
      </c>
      <c r="AE49" s="38">
        <f>IFERROR(INDEX('Prior YTD Data Pull'!$A$2:$CB$605,MATCH('Prior YTD Data Table'!$C49,'Prior YTD Data Pull'!$A$2:$A$605,0),MATCH("Total Current Assets",'Prior YTD Data Pull'!$A$1:$CB$1,0)),"")</f>
        <v>76072408</v>
      </c>
      <c r="AF49" s="38">
        <f>IFERROR(INDEX('Prior YTD Data Pull'!$A$2:$CB$605,MATCH('Prior YTD Data Table'!$C49,'Prior YTD Data Pull'!$A$2:$A$605,0),MATCH("Total Current Liabilities",'Prior YTD Data Pull'!$A$1:$CB$1,0)),"")</f>
        <v>41856633</v>
      </c>
      <c r="AG49" s="38">
        <f>IFERROR(INDEX('Prior YTD Data Pull'!$A$2:$CB$605,MATCH('Prior YTD Data Table'!$C49,'Prior YTD Data Pull'!$A$2:$A$605,0),MATCH("Total Non Operating Revenue",'Prior YTD Data Pull'!$A$1:$CB$1,0)),"")</f>
        <v>9933508</v>
      </c>
      <c r="AH49" s="38">
        <f>IFERROR(INDEX('Prior YTD Data Pull'!$A$2:$CB$605,MATCH('Prior YTD Data Table'!$C49,'Prior Year Data Pull'!$A$2:$A$593,0),MATCH("Less Accumulated Depreciation",'Prior YTD Data Pull'!$A$1:$CB$1,0)),"")</f>
        <v>73262000</v>
      </c>
      <c r="AI49" s="38">
        <f>IFERROR(INDEX('Prior YTD Data Pull'!$A$2:$CB$605,MATCH('Prior YTD Data Table'!$C49,'Prior YTD Data Pull'!$A$2:$A$605,0),MATCH("Depreciation and Amortization Expense",'Prior YTD Data Pull'!$A$1:$CB$1,0)),"")</f>
        <v>7829716</v>
      </c>
      <c r="AJ49" s="38">
        <f>IFERROR(INDEX('Prior YTD Data Pull'!$A$2:$CB$605,MATCH('Prior YTD Data Table'!$C49,'Prior YTD Data Pull'!$A$2:$A$605,0),MATCH("Net Patient Accounts Receivable",'Prior YTD Data Pull'!$A$1:$CB$1,0)),"")</f>
        <v>34796844</v>
      </c>
      <c r="AK49" s="14" t="str">
        <f>IF('Prior YTD Data Pull'!$H49 = 6, "183", IF('Prior YTD Data Pull'!$H49 = 3, "93",""))</f>
        <v>183</v>
      </c>
      <c r="AL49" s="38">
        <f>IFERROR(INDEX('Prior YTD Data Pull'!$A$2:$CB$605,MATCH('Prior YTD Data Table'!$C49,'Prior YTD Data Pull'!$A$2:$A$605,0),MATCH("Estimated Third Party Settlements",'Prior YTD Data Pull'!$A$1:$CB$1,0)),"")</f>
        <v>1264239</v>
      </c>
      <c r="AM49" s="38">
        <f>IFERROR(INDEX('Prior YTD Data Pull'!$A$2:$CB$605,MATCH('Prior YTD Data Table'!$C49,'Prior YTD Data Pull'!$A$2:$A$605,0),MATCH("Current Liabilities due to Affiliates",'Prior YTD Data Pull'!$A$1:$CB$1,0)),"")</f>
        <v>0</v>
      </c>
      <c r="AN49" s="38">
        <f>IFERROR(INDEX('Prior YTD Data Pull'!$A$2:$CB$605,MATCH('Prior YTD Data Table'!$C49,'Prior YTD Data Pull'!$A$2:$A$605,0),MATCH("Short Term Investments",'Prior YTD Data Pull'!$A$1:$CB$1,0)),"")</f>
        <v>0</v>
      </c>
      <c r="AO49" s="38">
        <f>IFERROR(INDEX('Prior YTD Data Pull'!$A$2:$CB$605,MATCH('Prior YTD Data Table'!$C49,'Prior YTD Data Pull'!$A$2:$A$605,0),MATCH("Cash and Cash Equivalents",'Prior YTD Data Pull'!$A$1:$CB$1,0)),"")</f>
        <v>23551568</v>
      </c>
      <c r="AP49" s="38">
        <f>IFERROR(INDEX('Prior YTD Data Pull'!$A$2:$CB$605,MATCH('Prior YTD Data Table'!$C49,'Prior YTD Data Pull'!$A$2:$A$605,0),MATCH("Interest Expense",'Prior YTD Data Pull'!$A$1:$CB$1,0)),"")</f>
        <v>0</v>
      </c>
      <c r="AQ49" s="38">
        <f>IFERROR(INDEX('Prior YTD Data Pull'!$A$2:$CB$605,MATCH('Prior YTD Data Table'!$C49,'Prior YTD Data Pull'!$A$2:$A$605,0),MATCH("Long Term Debt Net of Current Portion",'Prior YTD Data Pull'!$A$1:$CB$1,0)),"")</f>
        <v>48932397</v>
      </c>
      <c r="AR49" s="38">
        <f>IFERROR(INDEX('Prior YTD Data Pull'!$A$2:$CB$605,MATCH('Prior YTD Data Table'!$C49,'Prior YTD Data Pull'!$A$2:$A$605,0),MATCH("Total Assets",'Prior YTD Data Pull'!$A$1:$CB$1,0)),"")</f>
        <v>744296151</v>
      </c>
      <c r="AS49" s="38">
        <f>IFERROR(INDEX('Prior YTD Data Pull'!$A$2:$CB$605,MATCH('Prior YTD Data Table'!$C49,'Prior YTD Data Pull'!$A$2:$A$605,0),MATCH("Long Term Debt Net of Current Portion",'Prior YTD Data Pull'!$A$1:$CB$1,0)),"")</f>
        <v>48932397</v>
      </c>
      <c r="AT49" s="38">
        <f>IFERROR(INDEX('Prior YTD Data Pull'!$A$2:$CB$605,MATCH('Prior YTD Data Table'!$C49,'Prior YTD Data Pull'!$A$2:$A$605,0),MATCH("Net Unrestricted Assets",'Prior YTD Data Pull'!$A$1:$CB$1,0)),"")</f>
        <v>629114182</v>
      </c>
      <c r="AU49" s="38">
        <f>IFERROR(INDEX('Prior YTD Data Pull'!$A$2:$CB$605,MATCH('Prior YTD Data Table'!$C49,'Prior YTD Data Pull'!$A$2:$A$605,0),MATCH("Unrealized Gains/Losses",'Prior YTD Data Pull'!$A$1:$CB$1,0)),"")</f>
        <v>0</v>
      </c>
      <c r="AV49" s="38">
        <f>IFERROR(INDEX('Prior YTD Data Pull'!$A$2:$CB$605,MATCH('Prior YTD Data Table'!$C49,'Prior YTD Data Pull'!$A$2:$A$605,0),MATCH("Salary and Benefit Expense",'Prior YTD Data Pull'!$A$1:$CB$1,0)),"")</f>
        <v>113007923</v>
      </c>
      <c r="AW49" s="47"/>
      <c r="AX49" s="47"/>
      <c r="AY49" s="47"/>
      <c r="AZ49" s="47"/>
    </row>
    <row r="50" spans="1:52" ht="34.200000000000003" x14ac:dyDescent="0.3">
      <c r="A50" s="14" t="str">
        <f>IFERROR(INDEX('Static Data Tab'!$N$2:$N$610,MATCH(D50,'Static Data Tab'!$D$2:$D$610,0)), "")</f>
        <v>Signature Healthcare Corporation</v>
      </c>
      <c r="B50" s="57" t="s">
        <v>162</v>
      </c>
      <c r="C50" s="57">
        <v>9991</v>
      </c>
      <c r="D50" s="57">
        <v>9991</v>
      </c>
      <c r="E50" s="14" t="str">
        <f>IFERROR(INDEX('Prior YTD Data Pull'!$A$1:$CB$605,MATCH('Prior YTD Data Table'!$C50,'Prior YTD Data Pull'!$A$1:$A$605,0),MATCH("Organization Type",'Prior YTD Data Pull'!$A$1:$CB$1,0)),"")</f>
        <v>HHS</v>
      </c>
      <c r="F50" s="14" t="str">
        <f>IFERROR(INDEX('Static Data Tab'!$E$2:$E$610,MATCH('Prior YTD Data Table'!$C50,'Static Data Tab'!$B$2:$B$610,0)), "-")</f>
        <v>-</v>
      </c>
      <c r="G50" s="46" t="str">
        <f>IFERROR(INDEX('Static Data Tab'!$J$2:$J$610,MATCH('Prior YTD Data Table'!$C50,'Static Data Tab'!$B$2:$B$610,0)), "")</f>
        <v/>
      </c>
      <c r="H50" s="14" t="str">
        <f>IFERROR(INDEX('Static Data Tab'!$F$2:$F$610,MATCH('Prior YTD Data Table'!$C50,'Static Data Tab'!$B$2:$B$610,0)), "")</f>
        <v/>
      </c>
      <c r="I50" s="14" t="str">
        <f>IFERROR(INDEX('Static Data Tab'!$G$2:$G$610,MATCH('Prior YTD Data Table'!$C50,'Static Data Tab'!$B$2:$B$610,0)), "")</f>
        <v/>
      </c>
      <c r="J50" s="14" t="str">
        <f>IFERROR(INDEX('Prior YTD Data Pull'!$A$2:$CB$605,MATCH('Prior YTD Data Table'!$C50,'Prior YTD Data Pull'!$A$2:$A$605,0),MATCH("Quarter Range",'Prior YTD Data Pull'!$A$1:$CB$1,0)),"")</f>
        <v xml:space="preserve">10/01/2024-03/31/2025
</v>
      </c>
      <c r="K50" s="37">
        <f t="shared" si="2"/>
        <v>-0.14005213974162992</v>
      </c>
      <c r="L50" s="37">
        <f t="shared" si="3"/>
        <v>0.18268798232612934</v>
      </c>
      <c r="M50" s="37">
        <f t="shared" si="4"/>
        <v>4.2635842584499442E-2</v>
      </c>
      <c r="N50" s="38">
        <f t="shared" si="5"/>
        <v>12796115</v>
      </c>
      <c r="O50" s="39">
        <f t="shared" si="6"/>
        <v>1.0237455516350071</v>
      </c>
      <c r="P50" s="38">
        <f>IFERROR(INDEX('Prior YTD Data Pull'!$A$2:$CB$605,MATCH('Prior YTD Data Table'!$C50,'Prior YTD Data Pull'!$A$2:$A$605,0),MATCH("Total Net Assets or Equity",'Prior YTD Data Pull'!$A$1:$CB$1,0)),"")</f>
        <v>251797783</v>
      </c>
      <c r="Q50" s="38">
        <f>IFERROR(INDEX('Prior YTD Data Pull'!$A$2:$CB$605,MATCH('Prior YTD Data Table'!$C50,'Prior YTD Data Pull'!$A$2:$A$605,0),MATCH("Total Operating Revenue",'Prior YTD Data Pull'!$A$1:$CB$1,0)),"")</f>
        <v>245296397</v>
      </c>
      <c r="R50" s="38">
        <f>IFERROR(INDEX('Prior YTD Data Pull'!$A$2:$CB$605,MATCH('Prior YTD Data Table'!$C50,'Prior YTD Data Pull'!$A$2:$A$605,0),MATCH("Total Unrestricted Revenue Gains and Other Support",'Prior YTD Data Pull'!$A$1:$CB$1,0)),"")</f>
        <v>300125768</v>
      </c>
      <c r="S50" s="38">
        <f>IFERROR(INDEX('Prior YTD TS Data Pull'!$J$2:$J$128,MATCH('Prior YTD Data Table'!$C50, 'Prior YTD TS Data Pull'!$A$2:$A$128,0))+INDEX('Prior YTD TS Data Pull'!$N$2:$N$128,MATCH('Prior YTD Data Table'!$C50,'Prior YTD TS Data Pull'!$A$2:$A$609,0))+INDEX('Prior YTD TS Data Pull'!$R$2:$R$128,MATCH('Prior YTD Data Table'!$C50,'Prior YTD TS Data Pull'!$A$2:$A$609,0)),"")</f>
        <v>22357283.98</v>
      </c>
      <c r="T50" s="38">
        <f>IF(INDEX('Prior YTD TS Data Pull'!$A$1:$O$609,MATCH('Prior YTD Data Table'!$C50,'Prior YTD TS Data Pull'!$A$1:$A$609,0),MATCH("Temporary RN Staffing:
Line Reported on in Standardized Financials",'Prior YTD TS Data Pull'!$A$1:$O$1,0))="66.1: Salary and Benefit Expense",'Prior YTD Data Table'!$AV50-'Prior YTD Data Table'!$S50,0)</f>
        <v>0</v>
      </c>
      <c r="U50" s="38">
        <f>IFERROR(INDEX('Prior YTD Data Pull'!$A$2:$CB$605,MATCH('Prior YTD Data Table'!$C50,'Prior YTD Data Pull'!$A$2:$A$605,0),MATCH("Total Expenses Including Nonrecurring Gains Losses",'Prior YTD Data Pull'!$A$1:$CB$1,0)),"")</f>
        <v>287329653</v>
      </c>
      <c r="V50" s="41">
        <f t="shared" si="7"/>
        <v>0</v>
      </c>
      <c r="W50" s="41">
        <f t="shared" si="8"/>
        <v>34.086638698641202</v>
      </c>
      <c r="X50" s="41">
        <f t="shared" si="0"/>
        <v>70.682883420290466</v>
      </c>
      <c r="Y50" s="37">
        <f t="shared" si="9"/>
        <v>0.22788811449937182</v>
      </c>
      <c r="Z50" s="41">
        <f t="shared" si="1"/>
        <v>21.021567354281707</v>
      </c>
      <c r="AA50" s="39">
        <f t="shared" si="10"/>
        <v>0.24182670559522179</v>
      </c>
      <c r="AB50" s="37">
        <f t="shared" si="11"/>
        <v>0.49687201120615299</v>
      </c>
      <c r="AC50" s="37">
        <f t="shared" si="12"/>
        <v>0.28855387149822276</v>
      </c>
      <c r="AD50" s="38">
        <f>IFERROR(INDEX('Prior YTD Data Pull'!$A$2:$CB$605,MATCH('Prior YTD Data Table'!$C50,'Prior YTD Data Pull'!$A$2:$A$605,0),MATCH("Net Patient Service Revenue",'Prior YTD Data Pull'!$A$1:$CB$1,0)),"")</f>
        <v>182388993</v>
      </c>
      <c r="AE50" s="38">
        <f>IFERROR(INDEX('Prior YTD Data Pull'!$A$2:$CB$605,MATCH('Prior YTD Data Table'!$C50,'Prior YTD Data Pull'!$A$2:$A$605,0),MATCH("Total Current Assets",'Prior YTD Data Pull'!$A$1:$CB$1,0)),"")</f>
        <v>138857112</v>
      </c>
      <c r="AF50" s="38">
        <f>IFERROR(INDEX('Prior YTD Data Pull'!$A$2:$CB$605,MATCH('Prior YTD Data Table'!$C50,'Prior YTD Data Pull'!$A$2:$A$605,0),MATCH("Total Current Liabilities",'Prior YTD Data Pull'!$A$1:$CB$1,0)),"")</f>
        <v>135636352</v>
      </c>
      <c r="AG50" s="38">
        <f>IFERROR(INDEX('Prior YTD Data Pull'!$A$2:$CB$605,MATCH('Prior YTD Data Table'!$C50,'Prior YTD Data Pull'!$A$2:$A$605,0),MATCH("Total Non Operating Revenue",'Prior YTD Data Pull'!$A$1:$CB$1,0)),"")</f>
        <v>54829371</v>
      </c>
      <c r="AH50" s="38">
        <f>IFERROR(INDEX('Prior YTD Data Pull'!$A$2:$CB$605,MATCH('Prior YTD Data Table'!$C50,'Prior Year Data Pull'!$A$2:$A$593,0),MATCH("Less Accumulated Depreciation",'Prior YTD Data Pull'!$A$1:$CB$1,0)),"")</f>
        <v>0</v>
      </c>
      <c r="AI50" s="38">
        <f>IFERROR(INDEX('Prior YTD Data Pull'!$A$2:$CB$605,MATCH('Prior YTD Data Table'!$C50,'Prior YTD Data Pull'!$A$2:$A$605,0),MATCH("Depreciation and Amortization Expense",'Prior YTD Data Pull'!$A$1:$CB$1,0)),"")</f>
        <v>9040025</v>
      </c>
      <c r="AJ50" s="38">
        <f>IFERROR(INDEX('Prior YTD Data Pull'!$A$2:$CB$605,MATCH('Prior YTD Data Table'!$C50,'Prior YTD Data Pull'!$A$2:$A$605,0),MATCH("Net Patient Accounts Receivable",'Prior YTD Data Pull'!$A$1:$CB$1,0)),"")</f>
        <v>33972829</v>
      </c>
      <c r="AK50" s="14" t="str">
        <f>IF('Prior YTD Data Pull'!$H50 = 6, "183", IF('Prior YTD Data Pull'!$H50 = 3, "93",""))</f>
        <v>183</v>
      </c>
      <c r="AL50" s="38">
        <f>IFERROR(INDEX('Prior YTD Data Pull'!$A$2:$CB$605,MATCH('Prior YTD Data Table'!$C50,'Prior YTD Data Pull'!$A$2:$A$605,0),MATCH("Estimated Third Party Settlements",'Prior YTD Data Pull'!$A$1:$CB$1,0)),"")</f>
        <v>28148301</v>
      </c>
      <c r="AM50" s="38">
        <f>IFERROR(INDEX('Prior YTD Data Pull'!$A$2:$CB$605,MATCH('Prior YTD Data Table'!$C50,'Prior YTD Data Pull'!$A$2:$A$605,0),MATCH("Current Liabilities due to Affiliates",'Prior YTD Data Pull'!$A$1:$CB$1,0)),"")</f>
        <v>0</v>
      </c>
      <c r="AN50" s="38">
        <f>IFERROR(INDEX('Prior YTD Data Pull'!$A$2:$CB$605,MATCH('Prior YTD Data Table'!$C50,'Prior YTD Data Pull'!$A$2:$A$605,0),MATCH("Short Term Investments",'Prior YTD Data Pull'!$A$1:$CB$1,0)),"")</f>
        <v>0</v>
      </c>
      <c r="AO50" s="38">
        <f>IFERROR(INDEX('Prior YTD Data Pull'!$A$2:$CB$605,MATCH('Prior YTD Data Table'!$C50,'Prior YTD Data Pull'!$A$2:$A$605,0),MATCH("Cash and Cash Equivalents",'Prior YTD Data Pull'!$A$1:$CB$1,0)),"")</f>
        <v>31967673</v>
      </c>
      <c r="AP50" s="38">
        <f>IFERROR(INDEX('Prior YTD Data Pull'!$A$2:$CB$605,MATCH('Prior YTD Data Table'!$C50,'Prior YTD Data Pull'!$A$2:$A$605,0),MATCH("Interest Expense",'Prior YTD Data Pull'!$A$1:$CB$1,0)),"")</f>
        <v>1761589</v>
      </c>
      <c r="AQ50" s="38">
        <f>IFERROR(INDEX('Prior YTD Data Pull'!$A$2:$CB$605,MATCH('Prior YTD Data Table'!$C50,'Prior YTD Data Pull'!$A$2:$A$605,0),MATCH("Long Term Debt Net of Current Portion",'Prior YTD Data Pull'!$A$1:$CB$1,0)),"")</f>
        <v>95819565</v>
      </c>
      <c r="AR50" s="38">
        <f>IFERROR(INDEX('Prior YTD Data Pull'!$A$2:$CB$605,MATCH('Prior YTD Data Table'!$C50,'Prior YTD Data Pull'!$A$2:$A$605,0),MATCH("Total Assets",'Prior YTD Data Pull'!$A$1:$CB$1,0)),"")</f>
        <v>506765882</v>
      </c>
      <c r="AS50" s="38">
        <f>IFERROR(INDEX('Prior YTD Data Pull'!$A$2:$CB$605,MATCH('Prior YTD Data Table'!$C50,'Prior YTD Data Pull'!$A$2:$A$605,0),MATCH("Long Term Debt Net of Current Portion",'Prior YTD Data Pull'!$A$1:$CB$1,0)),"")</f>
        <v>95819565</v>
      </c>
      <c r="AT50" s="38">
        <f>IFERROR(INDEX('Prior YTD Data Pull'!$A$2:$CB$605,MATCH('Prior YTD Data Table'!$C50,'Prior YTD Data Pull'!$A$2:$A$605,0),MATCH("Net Unrestricted Assets",'Prior YTD Data Pull'!$A$1:$CB$1,0)),"")</f>
        <v>236248636</v>
      </c>
      <c r="AU50" s="38">
        <f>IFERROR(INDEX('Prior YTD Data Pull'!$A$2:$CB$605,MATCH('Prior YTD Data Table'!$C50,'Prior YTD Data Pull'!$A$2:$A$605,0),MATCH("Unrealized Gains/Losses",'Prior YTD Data Pull'!$A$1:$CB$1,0)),"")</f>
        <v>0</v>
      </c>
      <c r="AV50" s="38">
        <f>IFERROR(INDEX('Prior YTD Data Pull'!$A$2:$CB$605,MATCH('Prior YTD Data Table'!$C50,'Prior YTD Data Pull'!$A$2:$A$605,0),MATCH("Salary and Benefit Expense",'Prior YTD Data Pull'!$A$1:$CB$1,0)),"")</f>
        <v>164218610</v>
      </c>
      <c r="AW50" s="38"/>
      <c r="AX50" s="38"/>
      <c r="AY50" s="38"/>
      <c r="AZ50" s="38"/>
    </row>
    <row r="51" spans="1:52" ht="34.200000000000003" x14ac:dyDescent="0.3">
      <c r="A51" s="14" t="str">
        <f>IFERROR(INDEX('Static Data Tab'!$N$2:$N$610,MATCH(D51,'Static Data Tab'!$D$2:$D$610,0)), "")</f>
        <v xml:space="preserve">Baystate Health </v>
      </c>
      <c r="B51" s="14" t="s">
        <v>73</v>
      </c>
      <c r="C51" s="14">
        <v>4066</v>
      </c>
      <c r="D51" s="14">
        <v>4066</v>
      </c>
      <c r="E51" s="14" t="str">
        <f>IFERROR(INDEX('Prior YTD Data Pull'!$A$1:$CB$605,MATCH('Prior YTD Data Table'!$C51,'Prior YTD Data Pull'!$A$1:$A$605,0),MATCH("Organization Type",'Prior YTD Data Pull'!$A$1:$CB$1,0)),"")</f>
        <v>HHS</v>
      </c>
      <c r="F51" s="14" t="str">
        <f>IFERROR(INDEX('Static Data Tab'!$E$2:$E$610,MATCH('Prior YTD Data Table'!$C51,'Static Data Tab'!$B$2:$B$610,0)), "-")</f>
        <v>-</v>
      </c>
      <c r="G51" s="46" t="str">
        <f>IFERROR(INDEX('Static Data Tab'!$J$2:$J$610,MATCH('Prior YTD Data Table'!$C51,'Static Data Tab'!$B$2:$B$610,0)), "")</f>
        <v/>
      </c>
      <c r="H51" s="14" t="str">
        <f>IFERROR(INDEX('Static Data Tab'!$F$2:$F$610,MATCH('Prior YTD Data Table'!$C51,'Static Data Tab'!$B$2:$B$610,0)), "")</f>
        <v/>
      </c>
      <c r="I51" s="14" t="str">
        <f>IFERROR(INDEX('Static Data Tab'!$G$2:$G$610,MATCH('Prior YTD Data Table'!$C51,'Static Data Tab'!$B$2:$B$610,0)), "")</f>
        <v/>
      </c>
      <c r="J51" s="14" t="str">
        <f>IFERROR(INDEX('Prior YTD Data Pull'!$A$2:$CB$605,MATCH('Prior YTD Data Table'!$C51,'Prior YTD Data Pull'!$A$2:$A$605,0),MATCH("Quarter Range",'Prior YTD Data Pull'!$A$1:$CB$1,0)),"")</f>
        <v xml:space="preserve">10/01/2024-03/31/2025
</v>
      </c>
      <c r="K51" s="37">
        <f t="shared" si="2"/>
        <v>2.4203721043100823E-3</v>
      </c>
      <c r="L51" s="37">
        <f t="shared" si="3"/>
        <v>-1.8726548889341664E-3</v>
      </c>
      <c r="M51" s="37">
        <f t="shared" si="4"/>
        <v>5.4771721537591597E-4</v>
      </c>
      <c r="N51" s="38">
        <f t="shared" si="5"/>
        <v>957000</v>
      </c>
      <c r="O51" s="39">
        <f t="shared" si="6"/>
        <v>1.6588458029349544</v>
      </c>
      <c r="P51" s="38">
        <f>IFERROR(INDEX('Prior YTD Data Pull'!$A$2:$CB$605,MATCH('Prior YTD Data Table'!$C51,'Prior YTD Data Pull'!$A$2:$A$605,0),MATCH("Total Net Assets or Equity",'Prior YTD Data Pull'!$A$1:$CB$1,0)),"")</f>
        <v>1206641000</v>
      </c>
      <c r="Q51" s="38">
        <f>IFERROR(INDEX('Prior YTD Data Pull'!$A$2:$CB$605,MATCH('Prior YTD Data Table'!$C51,'Prior YTD Data Pull'!$A$2:$A$605,0),MATCH("Total Operating Revenue",'Prior YTD Data Pull'!$A$1:$CB$1,0)),"")</f>
        <v>1750524000</v>
      </c>
      <c r="R51" s="38">
        <f>IFERROR(INDEX('Prior YTD Data Pull'!$A$2:$CB$605,MATCH('Prior YTD Data Table'!$C51,'Prior YTD Data Pull'!$A$2:$A$605,0),MATCH("Total Unrestricted Revenue Gains and Other Support",'Prior YTD Data Pull'!$A$1:$CB$1,0)),"")</f>
        <v>1747252000</v>
      </c>
      <c r="S51" s="38">
        <f>IFERROR(INDEX('Prior YTD TS Data Pull'!$J$2:$J$128,MATCH('Prior YTD Data Table'!$C51, 'Prior YTD TS Data Pull'!$A$2:$A$128,0))+INDEX('Prior YTD TS Data Pull'!$N$2:$N$128,MATCH('Prior YTD Data Table'!$C51,'Prior YTD TS Data Pull'!$A$2:$A$609,0))+INDEX('Prior YTD TS Data Pull'!$R$2:$R$128,MATCH('Prior YTD Data Table'!$C51,'Prior YTD TS Data Pull'!$A$2:$A$609,0)),"")</f>
        <v>10366955</v>
      </c>
      <c r="T51" s="38">
        <f>IF(INDEX('Prior YTD TS Data Pull'!$A$1:$O$609,MATCH('Prior YTD Data Table'!$C51,'Prior YTD TS Data Pull'!$A$1:$A$609,0),MATCH("Temporary RN Staffing:
Line Reported on in Standardized Financials",'Prior YTD TS Data Pull'!$A$1:$O$1,0))="66.1: Salary and Benefit Expense",'Prior YTD Data Table'!$AV51-'Prior YTD Data Table'!$S51,0)</f>
        <v>0</v>
      </c>
      <c r="U51" s="38">
        <f>IFERROR(INDEX('Prior YTD Data Pull'!$A$2:$CB$605,MATCH('Prior YTD Data Table'!$C51,'Prior YTD Data Pull'!$A$2:$A$605,0),MATCH("Total Expenses Including Nonrecurring Gains Losses",'Prior YTD Data Pull'!$A$1:$CB$1,0)),"")</f>
        <v>1746295000</v>
      </c>
      <c r="V51" s="41">
        <f t="shared" si="7"/>
        <v>3.0379050091337372</v>
      </c>
      <c r="W51" s="41">
        <f t="shared" si="8"/>
        <v>42.463134022899496</v>
      </c>
      <c r="X51" s="41">
        <f t="shared" si="0"/>
        <v>59.23168128417408</v>
      </c>
      <c r="Y51" s="37">
        <f t="shared" si="9"/>
        <v>8.7568661462850542E-2</v>
      </c>
      <c r="Z51" s="41">
        <f t="shared" si="1"/>
        <v>52.436802916188327</v>
      </c>
      <c r="AA51" s="39">
        <f t="shared" si="10"/>
        <v>0.1031896000568303</v>
      </c>
      <c r="AB51" s="37">
        <f t="shared" si="11"/>
        <v>0.45994820517277396</v>
      </c>
      <c r="AC51" s="37">
        <f t="shared" si="12"/>
        <v>0.34358253579605563</v>
      </c>
      <c r="AD51" s="38">
        <f>IFERROR(INDEX('Prior YTD Data Pull'!$A$2:$CB$605,MATCH('Prior YTD Data Table'!$C51,'Prior YTD Data Pull'!$A$2:$A$605,0),MATCH("Net Patient Service Revenue",'Prior YTD Data Pull'!$A$1:$CB$1,0)),"")</f>
        <v>1102819000</v>
      </c>
      <c r="AE51" s="38">
        <f>IFERROR(INDEX('Prior YTD Data Pull'!$A$2:$CB$605,MATCH('Prior YTD Data Table'!$C51,'Prior YTD Data Pull'!$A$2:$A$605,0),MATCH("Total Current Assets",'Prior YTD Data Pull'!$A$1:$CB$1,0)),"")</f>
        <v>992723000</v>
      </c>
      <c r="AF51" s="38">
        <f>IFERROR(INDEX('Prior YTD Data Pull'!$A$2:$CB$605,MATCH('Prior YTD Data Table'!$C51,'Prior YTD Data Pull'!$A$2:$A$605,0),MATCH("Total Current Liabilities",'Prior YTD Data Pull'!$A$1:$CB$1,0)),"")</f>
        <v>598442000</v>
      </c>
      <c r="AG51" s="38">
        <f>IFERROR(INDEX('Prior YTD Data Pull'!$A$2:$CB$605,MATCH('Prior YTD Data Table'!$C51,'Prior YTD Data Pull'!$A$2:$A$605,0),MATCH("Total Non Operating Revenue",'Prior YTD Data Pull'!$A$1:$CB$1,0)),"")</f>
        <v>-3272000</v>
      </c>
      <c r="AH51" s="38">
        <f>IFERROR(INDEX('Prior YTD Data Pull'!$A$2:$CB$605,MATCH('Prior YTD Data Table'!$C51,'Prior Year Data Pull'!$A$2:$A$593,0),MATCH("Less Accumulated Depreciation",'Prior YTD Data Pull'!$A$1:$CB$1,0)),"")</f>
        <v>126389000</v>
      </c>
      <c r="AI51" s="38">
        <f>IFERROR(INDEX('Prior YTD Data Pull'!$A$2:$CB$605,MATCH('Prior YTD Data Table'!$C51,'Prior YTD Data Pull'!$A$2:$A$605,0),MATCH("Depreciation and Amortization Expense",'Prior YTD Data Pull'!$A$1:$CB$1,0)),"")</f>
        <v>41604000</v>
      </c>
      <c r="AJ51" s="38">
        <f>IFERROR(INDEX('Prior YTD Data Pull'!$A$2:$CB$605,MATCH('Prior YTD Data Table'!$C51,'Prior YTD Data Pull'!$A$2:$A$605,0),MATCH("Net Patient Accounts Receivable",'Prior YTD Data Pull'!$A$1:$CB$1,0)),"")</f>
        <v>255897000</v>
      </c>
      <c r="AK51" s="14" t="str">
        <f>IF('Prior YTD Data Pull'!$H51 = 6, "183", IF('Prior YTD Data Pull'!$H51 = 3, "93",""))</f>
        <v>183</v>
      </c>
      <c r="AL51" s="38">
        <f>IFERROR(INDEX('Prior YTD Data Pull'!$A$2:$CB$605,MATCH('Prior YTD Data Table'!$C51,'Prior YTD Data Pull'!$A$2:$A$605,0),MATCH("Estimated Third Party Settlements",'Prior YTD Data Pull'!$A$1:$CB$1,0)),"")</f>
        <v>46684000</v>
      </c>
      <c r="AM51" s="38">
        <f>IFERROR(INDEX('Prior YTD Data Pull'!$A$2:$CB$605,MATCH('Prior YTD Data Table'!$C51,'Prior YTD Data Pull'!$A$2:$A$605,0),MATCH("Current Liabilities due to Affiliates",'Prior YTD Data Pull'!$A$1:$CB$1,0)),"")</f>
        <v>0</v>
      </c>
      <c r="AN51" s="38">
        <f>IFERROR(INDEX('Prior YTD Data Pull'!$A$2:$CB$605,MATCH('Prior YTD Data Table'!$C51,'Prior YTD Data Pull'!$A$2:$A$605,0),MATCH("Short Term Investments",'Prior YTD Data Pull'!$A$1:$CB$1,0)),"")</f>
        <v>276039000</v>
      </c>
      <c r="AO51" s="38">
        <f>IFERROR(INDEX('Prior YTD Data Pull'!$A$2:$CB$605,MATCH('Prior YTD Data Table'!$C51,'Prior YTD Data Pull'!$A$2:$A$605,0),MATCH("Cash and Cash Equivalents",'Prior YTD Data Pull'!$A$1:$CB$1,0)),"")</f>
        <v>212423000</v>
      </c>
      <c r="AP51" s="38">
        <f>IFERROR(INDEX('Prior YTD Data Pull'!$A$2:$CB$605,MATCH('Prior YTD Data Table'!$C51,'Prior YTD Data Pull'!$A$2:$A$605,0),MATCH("Interest Expense",'Prior YTD Data Pull'!$A$1:$CB$1,0)),"")</f>
        <v>9640000</v>
      </c>
      <c r="AQ51" s="38">
        <f>IFERROR(INDEX('Prior YTD Data Pull'!$A$2:$CB$605,MATCH('Prior YTD Data Table'!$C51,'Prior YTD Data Pull'!$A$2:$A$605,0),MATCH("Long Term Debt Net of Current Portion",'Prior YTD Data Pull'!$A$1:$CB$1,0)),"")</f>
        <v>553440000</v>
      </c>
      <c r="AR51" s="38">
        <f>IFERROR(INDEX('Prior YTD Data Pull'!$A$2:$CB$605,MATCH('Prior YTD Data Table'!$C51,'Prior YTD Data Pull'!$A$2:$A$605,0),MATCH("Total Assets",'Prior YTD Data Pull'!$A$1:$CB$1,0)),"")</f>
        <v>2623428000</v>
      </c>
      <c r="AS51" s="38">
        <f>IFERROR(INDEX('Prior YTD Data Pull'!$A$2:$CB$605,MATCH('Prior YTD Data Table'!$C51,'Prior YTD Data Pull'!$A$2:$A$605,0),MATCH("Long Term Debt Net of Current Portion",'Prior YTD Data Pull'!$A$1:$CB$1,0)),"")</f>
        <v>553440000</v>
      </c>
      <c r="AT51" s="38">
        <f>IFERROR(INDEX('Prior YTD Data Pull'!$A$2:$CB$605,MATCH('Prior YTD Data Table'!$C51,'Prior YTD Data Pull'!$A$2:$A$605,0),MATCH("Net Unrestricted Assets",'Prior YTD Data Pull'!$A$1:$CB$1,0)),"")</f>
        <v>1057352000</v>
      </c>
      <c r="AU51" s="38">
        <f>IFERROR(INDEX('Prior YTD Data Pull'!$A$2:$CB$605,MATCH('Prior YTD Data Table'!$C51,'Prior YTD Data Pull'!$A$2:$A$605,0),MATCH("Unrealized Gains/Losses",'Prior YTD Data Pull'!$A$1:$CB$1,0)),"")</f>
        <v>-5903000</v>
      </c>
      <c r="AV51" s="38">
        <f>IFERROR(INDEX('Prior YTD Data Pull'!$A$2:$CB$605,MATCH('Prior YTD Data Table'!$C51,'Prior YTD Data Pull'!$A$2:$A$605,0),MATCH("Salary and Benefit Expense",'Prior YTD Data Pull'!$A$1:$CB$1,0)),"")</f>
        <v>741804000</v>
      </c>
      <c r="AW51" s="47"/>
      <c r="AX51" s="47"/>
      <c r="AY51" s="47"/>
      <c r="AZ51" s="47"/>
    </row>
    <row r="52" spans="1:52" ht="34.200000000000003" x14ac:dyDescent="0.3">
      <c r="A52" s="14" t="str">
        <f>IFERROR(INDEX('Static Data Tab'!$N$2:$N$610,MATCH(D52,'Static Data Tab'!$D$2:$D$610,0)), "")</f>
        <v>South Coast Health System</v>
      </c>
      <c r="B52" s="57" t="s">
        <v>170</v>
      </c>
      <c r="C52" s="57">
        <v>4027</v>
      </c>
      <c r="D52" s="57">
        <v>4027</v>
      </c>
      <c r="E52" s="14" t="str">
        <f>IFERROR(INDEX('Prior YTD Data Pull'!$A$1:$CB$605,MATCH('Prior YTD Data Table'!$C52,'Prior YTD Data Pull'!$A$1:$A$605,0),MATCH("Organization Type",'Prior YTD Data Pull'!$A$1:$CB$1,0)),"")</f>
        <v>HHS</v>
      </c>
      <c r="F52" s="14" t="str">
        <f>IFERROR(INDEX('Static Data Tab'!$E$2:$E$610,MATCH('Prior YTD Data Table'!$C52,'Static Data Tab'!$B$2:$B$610,0)), "-")</f>
        <v>-</v>
      </c>
      <c r="G52" s="46" t="str">
        <f>IFERROR(INDEX('Static Data Tab'!$J$2:$J$610,MATCH('Prior YTD Data Table'!$C52,'Static Data Tab'!$B$2:$B$610,0)), "")</f>
        <v/>
      </c>
      <c r="H52" s="14" t="str">
        <f>IFERROR(INDEX('Static Data Tab'!$F$2:$F$610,MATCH('Prior YTD Data Table'!$C52,'Static Data Tab'!$B$2:$B$610,0)), "")</f>
        <v/>
      </c>
      <c r="I52" s="14" t="str">
        <f>IFERROR(INDEX('Static Data Tab'!$G$2:$G$610,MATCH('Prior YTD Data Table'!$C52,'Static Data Tab'!$B$2:$B$610,0)), "")</f>
        <v/>
      </c>
      <c r="J52" s="14" t="str">
        <f>IFERROR(INDEX('Prior YTD Data Pull'!$A$2:$CB$605,MATCH('Prior YTD Data Table'!$C52,'Prior YTD Data Pull'!$A$2:$A$605,0),MATCH("Quarter Range",'Prior YTD Data Pull'!$A$1:$CB$1,0)),"")</f>
        <v xml:space="preserve">10/01/2024-03/31/2025
</v>
      </c>
      <c r="K52" s="37">
        <f t="shared" si="2"/>
        <v>-7.6985732111491002E-3</v>
      </c>
      <c r="L52" s="37">
        <f t="shared" si="3"/>
        <v>-1.5210535907827422E-3</v>
      </c>
      <c r="M52" s="37">
        <f t="shared" si="4"/>
        <v>-9.2196268019318073E-3</v>
      </c>
      <c r="N52" s="38">
        <f t="shared" si="5"/>
        <v>-7494419.8499990702</v>
      </c>
      <c r="O52" s="39">
        <f t="shared" si="6"/>
        <v>1.3768230399166446</v>
      </c>
      <c r="P52" s="38">
        <f>IFERROR(INDEX('Prior YTD Data Pull'!$A$2:$CB$605,MATCH('Prior YTD Data Table'!$C52,'Prior YTD Data Pull'!$A$2:$A$605,0),MATCH("Total Net Assets or Equity",'Prior YTD Data Pull'!$A$1:$CB$1,0)),"")</f>
        <v>994928339.76100004</v>
      </c>
      <c r="Q52" s="38">
        <f>IFERROR(INDEX('Prior YTD Data Pull'!$A$2:$CB$605,MATCH('Prior YTD Data Table'!$C52,'Prior YTD Data Pull'!$A$2:$A$605,0),MATCH("Total Operating Revenue",'Prior YTD Data Pull'!$A$1:$CB$1,0)),"")</f>
        <v>814113133.37000096</v>
      </c>
      <c r="R52" s="38">
        <f>IFERROR(INDEX('Prior YTD Data Pull'!$A$2:$CB$605,MATCH('Prior YTD Data Table'!$C52,'Prior YTD Data Pull'!$A$2:$A$605,0),MATCH("Total Unrestricted Revenue Gains and Other Support",'Prior YTD Data Pull'!$A$1:$CB$1,0)),"")</f>
        <v>812876704.34000099</v>
      </c>
      <c r="S52" s="38">
        <f>IFERROR(INDEX('Prior YTD TS Data Pull'!$J$2:$J$128,MATCH('Prior YTD Data Table'!$C52, 'Prior YTD TS Data Pull'!$A$2:$A$128,0))+INDEX('Prior YTD TS Data Pull'!$N$2:$N$128,MATCH('Prior YTD Data Table'!$C52,'Prior YTD TS Data Pull'!$A$2:$A$609,0))+INDEX('Prior YTD TS Data Pull'!$R$2:$R$128,MATCH('Prior YTD Data Table'!$C52,'Prior YTD TS Data Pull'!$A$2:$A$609,0)),"")</f>
        <v>8125971.4334025905</v>
      </c>
      <c r="T52" s="38">
        <f>IF(INDEX('Prior YTD TS Data Pull'!$A$1:$O$609,MATCH('Prior YTD Data Table'!$C52,'Prior YTD TS Data Pull'!$A$1:$A$609,0),MATCH("Temporary RN Staffing:
Line Reported on in Standardized Financials",'Prior YTD TS Data Pull'!$A$1:$O$1,0))="66.1: Salary and Benefit Expense",'Prior YTD Data Table'!$AV52-'Prior YTD Data Table'!$S52,0)</f>
        <v>475160724.73659742</v>
      </c>
      <c r="U52" s="38">
        <f>IFERROR(INDEX('Prior YTD Data Pull'!$A$2:$CB$605,MATCH('Prior YTD Data Table'!$C52,'Prior YTD Data Pull'!$A$2:$A$605,0),MATCH("Total Expenses Including Nonrecurring Gains Losses",'Prior YTD Data Pull'!$A$1:$CB$1,0)),"")</f>
        <v>820371124.19000006</v>
      </c>
      <c r="V52" s="41">
        <f t="shared" si="7"/>
        <v>0</v>
      </c>
      <c r="W52" s="41">
        <f t="shared" si="8"/>
        <v>39.944619013323369</v>
      </c>
      <c r="X52" s="41">
        <f t="shared" si="0"/>
        <v>49.33945702061073</v>
      </c>
      <c r="Y52" s="37">
        <f t="shared" si="9"/>
        <v>0.18977074035566693</v>
      </c>
      <c r="Z52" s="41">
        <f t="shared" si="1"/>
        <v>11.510352138190973</v>
      </c>
      <c r="AA52" s="39">
        <f t="shared" si="10"/>
        <v>0.20252806718211483</v>
      </c>
      <c r="AB52" s="37">
        <f t="shared" si="11"/>
        <v>0.62484619621071835</v>
      </c>
      <c r="AC52" s="37">
        <f t="shared" si="12"/>
        <v>0.19958160407780892</v>
      </c>
      <c r="AD52" s="38">
        <f>IFERROR(INDEX('Prior YTD Data Pull'!$A$2:$CB$605,MATCH('Prior YTD Data Table'!$C52,'Prior YTD Data Pull'!$A$2:$A$605,0),MATCH("Net Patient Service Revenue",'Prior YTD Data Pull'!$A$1:$CB$1,0)),"")</f>
        <v>716950052.17000103</v>
      </c>
      <c r="AE52" s="38">
        <f>IFERROR(INDEX('Prior YTD Data Pull'!$A$2:$CB$605,MATCH('Prior YTD Data Table'!$C52,'Prior YTD Data Pull'!$A$2:$A$605,0),MATCH("Total Current Assets",'Prior YTD Data Pull'!$A$1:$CB$1,0)),"")</f>
        <v>301839592.01999998</v>
      </c>
      <c r="AF52" s="38">
        <f>IFERROR(INDEX('Prior YTD Data Pull'!$A$2:$CB$605,MATCH('Prior YTD Data Table'!$C52,'Prior YTD Data Pull'!$A$2:$A$605,0),MATCH("Total Current Liabilities",'Prior YTD Data Pull'!$A$1:$CB$1,0)),"")</f>
        <v>219229039.07699999</v>
      </c>
      <c r="AG52" s="38">
        <f>IFERROR(INDEX('Prior YTD Data Pull'!$A$2:$CB$605,MATCH('Prior YTD Data Table'!$C52,'Prior YTD Data Pull'!$A$2:$A$605,0),MATCH("Total Non Operating Revenue",'Prior YTD Data Pull'!$A$1:$CB$1,0)),"")</f>
        <v>-1236429.03</v>
      </c>
      <c r="AH52" s="38">
        <f>IFERROR(INDEX('Prior YTD Data Pull'!$A$2:$CB$605,MATCH('Prior YTD Data Table'!$C52,'Prior Year Data Pull'!$A$2:$A$593,0),MATCH("Less Accumulated Depreciation",'Prior YTD Data Pull'!$A$1:$CB$1,0)),"")</f>
        <v>0</v>
      </c>
      <c r="AI52" s="38">
        <f>IFERROR(INDEX('Prior YTD Data Pull'!$A$2:$CB$605,MATCH('Prior YTD Data Table'!$C52,'Prior YTD Data Pull'!$A$2:$A$605,0),MATCH("Depreciation and Amortization Expense",'Prior YTD Data Pull'!$A$1:$CB$1,0)),"")</f>
        <v>28927752.120000001</v>
      </c>
      <c r="AJ52" s="38">
        <f>IFERROR(INDEX('Prior YTD Data Pull'!$A$2:$CB$605,MATCH('Prior YTD Data Table'!$C52,'Prior YTD Data Pull'!$A$2:$A$605,0),MATCH("Net Patient Accounts Receivable",'Prior YTD Data Pull'!$A$1:$CB$1,0)),"")</f>
        <v>156493424.51100001</v>
      </c>
      <c r="AK52" s="14" t="str">
        <f>IF('Prior YTD Data Pull'!$H52 = 6, "183", IF('Prior YTD Data Pull'!$H52 = 3, "93",""))</f>
        <v>183</v>
      </c>
      <c r="AL52" s="38">
        <f>IFERROR(INDEX('Prior YTD Data Pull'!$A$2:$CB$605,MATCH('Prior YTD Data Table'!$C52,'Prior YTD Data Pull'!$A$2:$A$605,0),MATCH("Estimated Third Party Settlements",'Prior YTD Data Pull'!$A$1:$CB$1,0)),"")</f>
        <v>5844414.8119999999</v>
      </c>
      <c r="AM52" s="38">
        <f>IFERROR(INDEX('Prior YTD Data Pull'!$A$2:$CB$605,MATCH('Prior YTD Data Table'!$C52,'Prior YTD Data Pull'!$A$2:$A$605,0),MATCH("Current Liabilities due to Affiliates",'Prior YTD Data Pull'!$A$1:$CB$1,0)),"")</f>
        <v>0</v>
      </c>
      <c r="AN52" s="38">
        <f>IFERROR(INDEX('Prior YTD Data Pull'!$A$2:$CB$605,MATCH('Prior YTD Data Table'!$C52,'Prior YTD Data Pull'!$A$2:$A$605,0),MATCH("Short Term Investments",'Prior YTD Data Pull'!$A$1:$CB$1,0)),"")</f>
        <v>5440094.54</v>
      </c>
      <c r="AO52" s="38">
        <f>IFERROR(INDEX('Prior YTD Data Pull'!$A$2:$CB$605,MATCH('Prior YTD Data Table'!$C52,'Prior YTD Data Pull'!$A$2:$A$605,0),MATCH("Cash and Cash Equivalents",'Prior YTD Data Pull'!$A$1:$CB$1,0)),"")</f>
        <v>44340189.120999999</v>
      </c>
      <c r="AP52" s="38">
        <f>IFERROR(INDEX('Prior YTD Data Pull'!$A$2:$CB$605,MATCH('Prior YTD Data Table'!$C52,'Prior YTD Data Pull'!$A$2:$A$605,0),MATCH("Interest Expense",'Prior YTD Data Pull'!$A$1:$CB$1,0)),"")</f>
        <v>3582037.47</v>
      </c>
      <c r="AQ52" s="38">
        <f>IFERROR(INDEX('Prior YTD Data Pull'!$A$2:$CB$605,MATCH('Prior YTD Data Table'!$C52,'Prior YTD Data Pull'!$A$2:$A$605,0),MATCH("Long Term Debt Net of Current Portion",'Prior YTD Data Pull'!$A$1:$CB$1,0)),"")</f>
        <v>223916372.41</v>
      </c>
      <c r="AR52" s="38">
        <f>IFERROR(INDEX('Prior YTD Data Pull'!$A$2:$CB$605,MATCH('Prior YTD Data Table'!$C52,'Prior YTD Data Pull'!$A$2:$A$605,0),MATCH("Total Assets",'Prior YTD Data Pull'!$A$1:$CB$1,0)),"")</f>
        <v>1592277180.8399999</v>
      </c>
      <c r="AS52" s="38">
        <f>IFERROR(INDEX('Prior YTD Data Pull'!$A$2:$CB$605,MATCH('Prior YTD Data Table'!$C52,'Prior YTD Data Pull'!$A$2:$A$605,0),MATCH("Long Term Debt Net of Current Portion",'Prior YTD Data Pull'!$A$1:$CB$1,0)),"")</f>
        <v>223916372.41</v>
      </c>
      <c r="AT52" s="38">
        <f>IFERROR(INDEX('Prior YTD Data Pull'!$A$2:$CB$605,MATCH('Prior YTD Data Table'!$C52,'Prior YTD Data Pull'!$A$2:$A$605,0),MATCH("Net Unrestricted Assets",'Prior YTD Data Pull'!$A$1:$CB$1,0)),"")</f>
        <v>898012542.05400002</v>
      </c>
      <c r="AU52" s="38">
        <f>IFERROR(INDEX('Prior YTD Data Pull'!$A$2:$CB$605,MATCH('Prior YTD Data Table'!$C52,'Prior YTD Data Pull'!$A$2:$A$605,0),MATCH("Unrealized Gains/Losses",'Prior YTD Data Pull'!$A$1:$CB$1,0)),"")</f>
        <v>-21059443.5</v>
      </c>
      <c r="AV52" s="38">
        <f>IFERROR(INDEX('Prior YTD Data Pull'!$A$2:$CB$605,MATCH('Prior YTD Data Table'!$C52,'Prior YTD Data Pull'!$A$2:$A$605,0),MATCH("Salary and Benefit Expense",'Prior YTD Data Pull'!$A$1:$CB$1,0)),"")</f>
        <v>483286696.17000002</v>
      </c>
      <c r="AW52" s="38"/>
      <c r="AX52" s="38"/>
      <c r="AY52" s="38"/>
      <c r="AZ52" s="38"/>
    </row>
    <row r="53" spans="1:52" ht="34.200000000000003" x14ac:dyDescent="0.3">
      <c r="A53" s="14" t="str">
        <f>IFERROR(INDEX('Static Data Tab'!$N$2:$N$610,MATCH(D53,'Static Data Tab'!$D$2:$D$610,0)), "")</f>
        <v>Emerson Health System Inc. and Subsid.</v>
      </c>
      <c r="B53" s="14" t="s">
        <v>130</v>
      </c>
      <c r="C53" s="14">
        <v>12776</v>
      </c>
      <c r="D53" s="14">
        <v>12776</v>
      </c>
      <c r="E53" s="14" t="str">
        <f>IFERROR(INDEX('Prior YTD Data Pull'!$A$1:$CB$605,MATCH('Prior YTD Data Table'!$C53,'Prior YTD Data Pull'!$A$1:$A$605,0),MATCH("Organization Type",'Prior YTD Data Pull'!$A$1:$CB$1,0)),"")</f>
        <v>HHS</v>
      </c>
      <c r="F53" s="14" t="str">
        <f>IFERROR(INDEX('Static Data Tab'!$E$2:$E$610,MATCH('Prior YTD Data Table'!$C53,'Static Data Tab'!$B$2:$B$610,0)), "-")</f>
        <v>-</v>
      </c>
      <c r="G53" s="46" t="str">
        <f>IFERROR(INDEX('Static Data Tab'!$J$2:$J$610,MATCH('Prior YTD Data Table'!$C53,'Static Data Tab'!$B$2:$B$610,0)), "")</f>
        <v/>
      </c>
      <c r="H53" s="14" t="str">
        <f>IFERROR(INDEX('Static Data Tab'!$F$2:$F$610,MATCH('Prior YTD Data Table'!$C53,'Static Data Tab'!$B$2:$B$610,0)), "")</f>
        <v/>
      </c>
      <c r="I53" s="14" t="str">
        <f>IFERROR(INDEX('Static Data Tab'!$G$2:$G$610,MATCH('Prior YTD Data Table'!$C53,'Static Data Tab'!$B$2:$B$610,0)), "")</f>
        <v/>
      </c>
      <c r="J53" s="14" t="str">
        <f>IFERROR(INDEX('Prior YTD Data Pull'!$A$2:$CB$605,MATCH('Prior YTD Data Table'!$C53,'Prior YTD Data Pull'!$A$2:$A$605,0),MATCH("Quarter Range",'Prior YTD Data Pull'!$A$1:$CB$1,0)),"")</f>
        <v xml:space="preserve">10/01/2024-03/31/2025
</v>
      </c>
      <c r="K53" s="37">
        <f t="shared" si="2"/>
        <v>-7.1876779961830787E-3</v>
      </c>
      <c r="L53" s="37">
        <f t="shared" si="3"/>
        <v>2.3562373793402293E-2</v>
      </c>
      <c r="M53" s="37">
        <f t="shared" si="4"/>
        <v>1.6374695797219212E-2</v>
      </c>
      <c r="N53" s="38">
        <f t="shared" si="5"/>
        <v>3311721</v>
      </c>
      <c r="O53" s="39">
        <f t="shared" si="6"/>
        <v>1.775699205068318</v>
      </c>
      <c r="P53" s="38">
        <f>IFERROR(INDEX('Prior YTD Data Pull'!$A$2:$CB$605,MATCH('Prior YTD Data Table'!$C53,'Prior YTD Data Pull'!$A$2:$A$605,0),MATCH("Total Net Assets or Equity",'Prior YTD Data Pull'!$A$1:$CB$1,0)),"")</f>
        <v>115145295</v>
      </c>
      <c r="Q53" s="38">
        <f>IFERROR(INDEX('Prior YTD Data Pull'!$A$2:$CB$605,MATCH('Prior YTD Data Table'!$C53,'Prior YTD Data Pull'!$A$2:$A$605,0),MATCH("Total Operating Revenue",'Prior YTD Data Pull'!$A$1:$CB$1,0)),"")</f>
        <v>197480859</v>
      </c>
      <c r="R53" s="38">
        <f>IFERROR(INDEX('Prior YTD Data Pull'!$A$2:$CB$605,MATCH('Prior YTD Data Table'!$C53,'Prior YTD Data Pull'!$A$2:$A$605,0),MATCH("Total Unrestricted Revenue Gains and Other Support",'Prior YTD Data Pull'!$A$1:$CB$1,0)),"")</f>
        <v>202246261</v>
      </c>
      <c r="S53" s="38">
        <f>IFERROR(INDEX('Prior YTD TS Data Pull'!$J$2:$J$128,MATCH('Prior YTD Data Table'!$C53, 'Prior YTD TS Data Pull'!$A$2:$A$128,0))+INDEX('Prior YTD TS Data Pull'!$N$2:$N$128,MATCH('Prior YTD Data Table'!$C53,'Prior YTD TS Data Pull'!$A$2:$A$609,0))+INDEX('Prior YTD TS Data Pull'!$R$2:$R$128,MATCH('Prior YTD Data Table'!$C53,'Prior YTD TS Data Pull'!$A$2:$A$609,0)),"")</f>
        <v>0</v>
      </c>
      <c r="T53" s="38">
        <f>IF(INDEX('Prior YTD TS Data Pull'!$A$1:$O$609,MATCH('Prior YTD Data Table'!$C53,'Prior YTD TS Data Pull'!$A$1:$A$609,0),MATCH("Temporary RN Staffing:
Line Reported on in Standardized Financials",'Prior YTD TS Data Pull'!$A$1:$O$1,0))="66.1: Salary and Benefit Expense",'Prior YTD Data Table'!$AV53-'Prior YTD Data Table'!$S53,0)</f>
        <v>0</v>
      </c>
      <c r="U53" s="38">
        <f>IFERROR(INDEX('Prior YTD Data Pull'!$A$2:$CB$605,MATCH('Prior YTD Data Table'!$C53,'Prior YTD Data Pull'!$A$2:$A$605,0),MATCH("Total Expenses Including Nonrecurring Gains Losses",'Prior YTD Data Pull'!$A$1:$CB$1,0)),"")</f>
        <v>198934540</v>
      </c>
      <c r="V53" s="41">
        <f t="shared" si="7"/>
        <v>245.19767027225896</v>
      </c>
      <c r="W53" s="41">
        <f t="shared" si="8"/>
        <v>38.41873857681739</v>
      </c>
      <c r="X53" s="41">
        <f t="shared" si="0"/>
        <v>60.47864183928219</v>
      </c>
      <c r="Y53" s="37">
        <f t="shared" si="9"/>
        <v>0.16444934662012073</v>
      </c>
      <c r="Z53" s="41">
        <f t="shared" si="1"/>
        <v>20.925447832594251</v>
      </c>
      <c r="AA53" s="39">
        <f t="shared" si="10"/>
        <v>0.18090047860167488</v>
      </c>
      <c r="AB53" s="37">
        <f t="shared" si="11"/>
        <v>0.38749712507618972</v>
      </c>
      <c r="AC53" s="37">
        <f t="shared" si="12"/>
        <v>0.37243216568230142</v>
      </c>
      <c r="AD53" s="38">
        <f>IFERROR(INDEX('Prior YTD Data Pull'!$A$2:$CB$605,MATCH('Prior YTD Data Table'!$C53,'Prior YTD Data Pull'!$A$2:$A$605,0),MATCH("Net Patient Service Revenue",'Prior YTD Data Pull'!$A$1:$CB$1,0)),"")</f>
        <v>187905711</v>
      </c>
      <c r="AE53" s="38">
        <f>IFERROR(INDEX('Prior YTD Data Pull'!$A$2:$CB$605,MATCH('Prior YTD Data Table'!$C53,'Prior YTD Data Pull'!$A$2:$A$605,0),MATCH("Total Current Assets",'Prior YTD Data Pull'!$A$1:$CB$1,0)),"")</f>
        <v>113321460</v>
      </c>
      <c r="AF53" s="38">
        <f>IFERROR(INDEX('Prior YTD Data Pull'!$A$2:$CB$605,MATCH('Prior YTD Data Table'!$C53,'Prior YTD Data Pull'!$A$2:$A$605,0),MATCH("Total Current Liabilities",'Prior YTD Data Pull'!$A$1:$CB$1,0)),"")</f>
        <v>63817937</v>
      </c>
      <c r="AG53" s="38">
        <f>IFERROR(INDEX('Prior YTD Data Pull'!$A$2:$CB$605,MATCH('Prior YTD Data Table'!$C53,'Prior YTD Data Pull'!$A$2:$A$605,0),MATCH("Total Non Operating Revenue",'Prior YTD Data Pull'!$A$1:$CB$1,0)),"")</f>
        <v>4765402</v>
      </c>
      <c r="AH53" s="38">
        <f>IFERROR(INDEX('Prior YTD Data Pull'!$A$2:$CB$605,MATCH('Prior YTD Data Table'!$C53,'Prior Year Data Pull'!$A$2:$A$593,0),MATCH("Less Accumulated Depreciation",'Prior YTD Data Pull'!$A$1:$CB$1,0)),"")</f>
        <v>1429574751</v>
      </c>
      <c r="AI53" s="38">
        <f>IFERROR(INDEX('Prior YTD Data Pull'!$A$2:$CB$605,MATCH('Prior YTD Data Table'!$C53,'Prior YTD Data Pull'!$A$2:$A$605,0),MATCH("Depreciation and Amortization Expense",'Prior YTD Data Pull'!$A$1:$CB$1,0)),"")</f>
        <v>5830295</v>
      </c>
      <c r="AJ53" s="38">
        <f>IFERROR(INDEX('Prior YTD Data Pull'!$A$2:$CB$605,MATCH('Prior YTD Data Table'!$C53,'Prior YTD Data Pull'!$A$2:$A$605,0),MATCH("Net Patient Accounts Receivable",'Prior YTD Data Pull'!$A$1:$CB$1,0)),"")</f>
        <v>39448636</v>
      </c>
      <c r="AK53" s="14" t="str">
        <f>IF('Prior YTD Data Pull'!$H53 = 6, "183", IF('Prior YTD Data Pull'!$H53 = 3, "93",""))</f>
        <v>183</v>
      </c>
      <c r="AL53" s="38">
        <f>IFERROR(INDEX('Prior YTD Data Pull'!$A$2:$CB$605,MATCH('Prior YTD Data Table'!$C53,'Prior YTD Data Pull'!$A$2:$A$605,0),MATCH("Estimated Third Party Settlements",'Prior YTD Data Pull'!$A$1:$CB$1,0)),"")</f>
        <v>0</v>
      </c>
      <c r="AM53" s="38">
        <f>IFERROR(INDEX('Prior YTD Data Pull'!$A$2:$CB$605,MATCH('Prior YTD Data Table'!$C53,'Prior YTD Data Pull'!$A$2:$A$605,0),MATCH("Current Liabilities due to Affiliates",'Prior YTD Data Pull'!$A$1:$CB$1,0)),"")</f>
        <v>0</v>
      </c>
      <c r="AN53" s="38">
        <f>IFERROR(INDEX('Prior YTD Data Pull'!$A$2:$CB$605,MATCH('Prior YTD Data Table'!$C53,'Prior YTD Data Pull'!$A$2:$A$605,0),MATCH("Short Term Investments",'Prior YTD Data Pull'!$A$1:$CB$1,0)),"")</f>
        <v>0</v>
      </c>
      <c r="AO53" s="38">
        <f>IFERROR(INDEX('Prior YTD Data Pull'!$A$2:$CB$605,MATCH('Prior YTD Data Table'!$C53,'Prior YTD Data Pull'!$A$2:$A$605,0),MATCH("Cash and Cash Equivalents",'Prior YTD Data Pull'!$A$1:$CB$1,0)),"")</f>
        <v>22080835</v>
      </c>
      <c r="AP53" s="38">
        <f>IFERROR(INDEX('Prior YTD Data Pull'!$A$2:$CB$605,MATCH('Prior YTD Data Table'!$C53,'Prior YTD Data Pull'!$A$2:$A$605,0),MATCH("Interest Expense",'Prior YTD Data Pull'!$A$1:$CB$1,0)),"")</f>
        <v>1158206</v>
      </c>
      <c r="AQ53" s="38">
        <f>IFERROR(INDEX('Prior YTD Data Pull'!$A$2:$CB$605,MATCH('Prior YTD Data Table'!$C53,'Prior YTD Data Pull'!$A$2:$A$605,0),MATCH("Long Term Debt Net of Current Portion",'Prior YTD Data Pull'!$A$1:$CB$1,0)),"")</f>
        <v>57666912</v>
      </c>
      <c r="AR53" s="38">
        <f>IFERROR(INDEX('Prior YTD Data Pull'!$A$2:$CB$605,MATCH('Prior YTD Data Table'!$C53,'Prior YTD Data Pull'!$A$2:$A$605,0),MATCH("Total Assets",'Prior YTD Data Pull'!$A$1:$CB$1,0)),"")</f>
        <v>297151353</v>
      </c>
      <c r="AS53" s="38">
        <f>IFERROR(INDEX('Prior YTD Data Pull'!$A$2:$CB$605,MATCH('Prior YTD Data Table'!$C53,'Prior YTD Data Pull'!$A$2:$A$605,0),MATCH("Long Term Debt Net of Current Portion",'Prior YTD Data Pull'!$A$1:$CB$1,0)),"")</f>
        <v>57666912</v>
      </c>
      <c r="AT53" s="38">
        <f>IFERROR(INDEX('Prior YTD Data Pull'!$A$2:$CB$605,MATCH('Prior YTD Data Table'!$C53,'Prior YTD Data Pull'!$A$2:$A$605,0),MATCH("Net Unrestricted Assets",'Prior YTD Data Pull'!$A$1:$CB$1,0)),"")</f>
        <v>97171787</v>
      </c>
      <c r="AU53" s="38">
        <f>IFERROR(INDEX('Prior YTD Data Pull'!$A$2:$CB$605,MATCH('Prior YTD Data Table'!$C53,'Prior YTD Data Pull'!$A$2:$A$605,0),MATCH("Unrealized Gains/Losses",'Prior YTD Data Pull'!$A$1:$CB$1,0)),"")</f>
        <v>-341270</v>
      </c>
      <c r="AV53" s="38">
        <f>IFERROR(INDEX('Prior YTD Data Pull'!$A$2:$CB$605,MATCH('Prior YTD Data Table'!$C53,'Prior YTD Data Pull'!$A$2:$A$605,0),MATCH("Salary and Benefit Expense",'Prior YTD Data Pull'!$A$1:$CB$1,0)),"")</f>
        <v>108285081</v>
      </c>
      <c r="AW53" s="47"/>
      <c r="AX53" s="47"/>
      <c r="AY53" s="47"/>
      <c r="AZ53" s="47"/>
    </row>
    <row r="54" spans="1:52" ht="34.200000000000003" x14ac:dyDescent="0.3">
      <c r="A54" s="14" t="str">
        <f>IFERROR(INDEX('Static Data Tab'!$N$2:$N$610,MATCH(D54,'Static Data Tab'!$D$2:$D$610,0)), "")</f>
        <v>South Shore Health System</v>
      </c>
      <c r="B54" s="57" t="s">
        <v>166</v>
      </c>
      <c r="C54" s="57">
        <v>12759</v>
      </c>
      <c r="D54" s="57">
        <v>12759</v>
      </c>
      <c r="E54" s="14" t="str">
        <f>IFERROR(INDEX('Prior YTD Data Pull'!$A$1:$CB$605,MATCH('Prior YTD Data Table'!$C54,'Prior YTD Data Pull'!$A$1:$A$605,0),MATCH("Organization Type",'Prior YTD Data Pull'!$A$1:$CB$1,0)),"")</f>
        <v>HHS</v>
      </c>
      <c r="F54" s="14" t="str">
        <f>IFERROR(INDEX('Static Data Tab'!$E$2:$E$610,MATCH('Prior YTD Data Table'!$C54,'Static Data Tab'!$B$2:$B$610,0)), "-")</f>
        <v>-</v>
      </c>
      <c r="G54" s="46" t="str">
        <f>IFERROR(INDEX('Static Data Tab'!$J$2:$J$610,MATCH('Prior YTD Data Table'!$C54,'Static Data Tab'!$B$2:$B$610,0)), "")</f>
        <v/>
      </c>
      <c r="H54" s="14" t="str">
        <f>IFERROR(INDEX('Static Data Tab'!$F$2:$F$610,MATCH('Prior YTD Data Table'!$C54,'Static Data Tab'!$B$2:$B$610,0)), "")</f>
        <v/>
      </c>
      <c r="I54" s="14" t="str">
        <f>IFERROR(INDEX('Static Data Tab'!$G$2:$G$610,MATCH('Prior YTD Data Table'!$C54,'Static Data Tab'!$B$2:$B$610,0)), "")</f>
        <v/>
      </c>
      <c r="J54" s="14" t="str">
        <f>IFERROR(INDEX('Prior YTD Data Pull'!$A$2:$CB$605,MATCH('Prior YTD Data Table'!$C54,'Prior YTD Data Pull'!$A$2:$A$605,0),MATCH("Quarter Range",'Prior YTD Data Pull'!$A$1:$CB$1,0)),"")</f>
        <v xml:space="preserve">10/01/2024-03/31/2025
</v>
      </c>
      <c r="K54" s="37">
        <f t="shared" si="2"/>
        <v>-5.0284993907723854E-2</v>
      </c>
      <c r="L54" s="37">
        <f t="shared" si="3"/>
        <v>-7.795502407425655E-3</v>
      </c>
      <c r="M54" s="37">
        <f t="shared" si="4"/>
        <v>-5.8080496315149513E-2</v>
      </c>
      <c r="N54" s="38">
        <f t="shared" si="5"/>
        <v>-28272203</v>
      </c>
      <c r="O54" s="39">
        <f t="shared" si="6"/>
        <v>1.4947213675974937</v>
      </c>
      <c r="P54" s="38">
        <f>IFERROR(INDEX('Prior YTD Data Pull'!$A$2:$CB$605,MATCH('Prior YTD Data Table'!$C54,'Prior YTD Data Pull'!$A$2:$A$605,0),MATCH("Total Net Assets or Equity",'Prior YTD Data Pull'!$A$1:$CB$1,0)),"")</f>
        <v>405131070</v>
      </c>
      <c r="Q54" s="38">
        <f>IFERROR(INDEX('Prior YTD Data Pull'!$A$2:$CB$605,MATCH('Prior YTD Data Table'!$C54,'Prior YTD Data Pull'!$A$2:$A$605,0),MATCH("Total Operating Revenue",'Prior YTD Data Pull'!$A$1:$CB$1,0)),"")</f>
        <v>490570860</v>
      </c>
      <c r="R54" s="38">
        <f>IFERROR(INDEX('Prior YTD Data Pull'!$A$2:$CB$605,MATCH('Prior YTD Data Table'!$C54,'Prior YTD Data Pull'!$A$2:$A$605,0),MATCH("Total Unrestricted Revenue Gains and Other Support",'Prior YTD Data Pull'!$A$1:$CB$1,0)),"")</f>
        <v>486776195</v>
      </c>
      <c r="S54" s="38">
        <f>IFERROR(INDEX('Prior YTD TS Data Pull'!$J$2:$J$128,MATCH('Prior YTD Data Table'!$C54, 'Prior YTD TS Data Pull'!$A$2:$A$128,0))+INDEX('Prior YTD TS Data Pull'!$N$2:$N$128,MATCH('Prior YTD Data Table'!$C54,'Prior YTD TS Data Pull'!$A$2:$A$609,0))+INDEX('Prior YTD TS Data Pull'!$R$2:$R$128,MATCH('Prior YTD Data Table'!$C54,'Prior YTD TS Data Pull'!$A$2:$A$609,0)),"")</f>
        <v>9364911.9800000004</v>
      </c>
      <c r="T54" s="38">
        <f>IF(INDEX('Prior YTD TS Data Pull'!$A$1:$O$609,MATCH('Prior YTD Data Table'!$C54,'Prior YTD TS Data Pull'!$A$1:$A$609,0),MATCH("Temporary RN Staffing:
Line Reported on in Standardized Financials",'Prior YTD TS Data Pull'!$A$1:$O$1,0))="66.1: Salary and Benefit Expense",'Prior YTD Data Table'!$AV54-'Prior YTD Data Table'!$S54,0)</f>
        <v>0</v>
      </c>
      <c r="U54" s="38">
        <f>IFERROR(INDEX('Prior YTD Data Pull'!$A$2:$CB$605,MATCH('Prior YTD Data Table'!$C54,'Prior YTD Data Pull'!$A$2:$A$605,0),MATCH("Total Expenses Including Nonrecurring Gains Losses",'Prior YTD Data Pull'!$A$1:$CB$1,0)),"")</f>
        <v>515048398</v>
      </c>
      <c r="V54" s="41">
        <f t="shared" si="7"/>
        <v>0</v>
      </c>
      <c r="W54" s="41">
        <f t="shared" si="8"/>
        <v>24.60359084176039</v>
      </c>
      <c r="X54" s="41">
        <f t="shared" si="0"/>
        <v>30.377762650917393</v>
      </c>
      <c r="Y54" s="37">
        <f t="shared" si="9"/>
        <v>1.0317870580339901E-2</v>
      </c>
      <c r="Z54" s="41">
        <f t="shared" si="1"/>
        <v>11.604574892024138</v>
      </c>
      <c r="AA54" s="39">
        <f t="shared" si="10"/>
        <v>3.010512695717641E-2</v>
      </c>
      <c r="AB54" s="37">
        <f t="shared" si="11"/>
        <v>0.47835582006909366</v>
      </c>
      <c r="AC54" s="37">
        <f t="shared" si="12"/>
        <v>0.38356991272934776</v>
      </c>
      <c r="AD54" s="38">
        <f>IFERROR(INDEX('Prior YTD Data Pull'!$A$2:$CB$605,MATCH('Prior YTD Data Table'!$C54,'Prior YTD Data Pull'!$A$2:$A$605,0),MATCH("Net Patient Service Revenue",'Prior YTD Data Pull'!$A$1:$CB$1,0)),"")</f>
        <v>457648738</v>
      </c>
      <c r="AE54" s="38">
        <f>IFERROR(INDEX('Prior YTD Data Pull'!$A$2:$CB$605,MATCH('Prior YTD Data Table'!$C54,'Prior YTD Data Pull'!$A$2:$A$605,0),MATCH("Total Current Assets",'Prior YTD Data Pull'!$A$1:$CB$1,0)),"")</f>
        <v>243001307</v>
      </c>
      <c r="AF54" s="38">
        <f>IFERROR(INDEX('Prior YTD Data Pull'!$A$2:$CB$605,MATCH('Prior YTD Data Table'!$C54,'Prior YTD Data Pull'!$A$2:$A$605,0),MATCH("Total Current Liabilities",'Prior YTD Data Pull'!$A$1:$CB$1,0)),"")</f>
        <v>162572980</v>
      </c>
      <c r="AG54" s="38">
        <f>IFERROR(INDEX('Prior YTD Data Pull'!$A$2:$CB$605,MATCH('Prior YTD Data Table'!$C54,'Prior YTD Data Pull'!$A$2:$A$605,0),MATCH("Total Non Operating Revenue",'Prior YTD Data Pull'!$A$1:$CB$1,0)),"")</f>
        <v>-3794665</v>
      </c>
      <c r="AH54" s="38">
        <f>IFERROR(INDEX('Prior YTD Data Pull'!$A$2:$CB$605,MATCH('Prior YTD Data Table'!$C54,'Prior Year Data Pull'!$A$2:$A$593,0),MATCH("Less Accumulated Depreciation",'Prior YTD Data Pull'!$A$1:$CB$1,0)),"")</f>
        <v>0</v>
      </c>
      <c r="AI54" s="38">
        <f>IFERROR(INDEX('Prior YTD Data Pull'!$A$2:$CB$605,MATCH('Prior YTD Data Table'!$C54,'Prior YTD Data Pull'!$A$2:$A$605,0),MATCH("Depreciation and Amortization Expense",'Prior YTD Data Pull'!$A$1:$CB$1,0)),"")</f>
        <v>17544853</v>
      </c>
      <c r="AJ54" s="38">
        <f>IFERROR(INDEX('Prior YTD Data Pull'!$A$2:$CB$605,MATCH('Prior YTD Data Table'!$C54,'Prior YTD Data Pull'!$A$2:$A$605,0),MATCH("Net Patient Accounts Receivable",'Prior YTD Data Pull'!$A$1:$CB$1,0)),"")</f>
        <v>121073143</v>
      </c>
      <c r="AK54" s="14" t="str">
        <f>IF('Prior YTD Data Pull'!$H54 = 6, "183", IF('Prior YTD Data Pull'!$H54 = 3, "93",""))</f>
        <v>93</v>
      </c>
      <c r="AL54" s="38">
        <f>IFERROR(INDEX('Prior YTD Data Pull'!$A$2:$CB$605,MATCH('Prior YTD Data Table'!$C54,'Prior YTD Data Pull'!$A$2:$A$605,0),MATCH("Estimated Third Party Settlements",'Prior YTD Data Pull'!$A$1:$CB$1,0)),"")</f>
        <v>67124</v>
      </c>
      <c r="AM54" s="38">
        <f>IFERROR(INDEX('Prior YTD Data Pull'!$A$2:$CB$605,MATCH('Prior YTD Data Table'!$C54,'Prior YTD Data Pull'!$A$2:$A$605,0),MATCH("Current Liabilities due to Affiliates",'Prior YTD Data Pull'!$A$1:$CB$1,0)),"")</f>
        <v>0</v>
      </c>
      <c r="AN54" s="38">
        <f>IFERROR(INDEX('Prior YTD Data Pull'!$A$2:$CB$605,MATCH('Prior YTD Data Table'!$C54,'Prior YTD Data Pull'!$A$2:$A$605,0),MATCH("Short Term Investments",'Prior YTD Data Pull'!$A$1:$CB$1,0)),"")</f>
        <v>20257017</v>
      </c>
      <c r="AO54" s="38">
        <f>IFERROR(INDEX('Prior YTD Data Pull'!$A$2:$CB$605,MATCH('Prior YTD Data Table'!$C54,'Prior YTD Data Pull'!$A$2:$A$605,0),MATCH("Cash and Cash Equivalents",'Prior YTD Data Pull'!$A$1:$CB$1,0)),"")</f>
        <v>41821662</v>
      </c>
      <c r="AP54" s="38">
        <f>IFERROR(INDEX('Prior YTD Data Pull'!$A$2:$CB$605,MATCH('Prior YTD Data Table'!$C54,'Prior YTD Data Pull'!$A$2:$A$605,0),MATCH("Interest Expense",'Prior YTD Data Pull'!$A$1:$CB$1,0)),"")</f>
        <v>4860018</v>
      </c>
      <c r="AQ54" s="38">
        <f>IFERROR(INDEX('Prior YTD Data Pull'!$A$2:$CB$605,MATCH('Prior YTD Data Table'!$C54,'Prior YTD Data Pull'!$A$2:$A$605,0),MATCH("Long Term Debt Net of Current Portion",'Prior YTD Data Pull'!$A$1:$CB$1,0)),"")</f>
        <v>238219309</v>
      </c>
      <c r="AR54" s="38">
        <f>IFERROR(INDEX('Prior YTD Data Pull'!$A$2:$CB$605,MATCH('Prior YTD Data Table'!$C54,'Prior YTD Data Pull'!$A$2:$A$605,0),MATCH("Total Assets",'Prior YTD Data Pull'!$A$1:$CB$1,0)),"")</f>
        <v>846924095</v>
      </c>
      <c r="AS54" s="38">
        <f>IFERROR(INDEX('Prior YTD Data Pull'!$A$2:$CB$605,MATCH('Prior YTD Data Table'!$C54,'Prior YTD Data Pull'!$A$2:$A$605,0),MATCH("Long Term Debt Net of Current Portion",'Prior YTD Data Pull'!$A$1:$CB$1,0)),"")</f>
        <v>238219309</v>
      </c>
      <c r="AT54" s="38">
        <f>IFERROR(INDEX('Prior YTD Data Pull'!$A$2:$CB$605,MATCH('Prior YTD Data Table'!$C54,'Prior YTD Data Pull'!$A$2:$A$605,0),MATCH("Net Unrestricted Assets",'Prior YTD Data Pull'!$A$1:$CB$1,0)),"")</f>
        <v>382839072</v>
      </c>
      <c r="AU54" s="38">
        <f>IFERROR(INDEX('Prior YTD Data Pull'!$A$2:$CB$605,MATCH('Prior YTD Data Table'!$C54,'Prior YTD Data Pull'!$A$2:$A$605,0),MATCH("Unrealized Gains/Losses",'Prior YTD Data Pull'!$A$1:$CB$1,0)),"")</f>
        <v>-13185266</v>
      </c>
      <c r="AV54" s="38">
        <f>IFERROR(INDEX('Prior YTD Data Pull'!$A$2:$CB$605,MATCH('Prior YTD Data Table'!$C54,'Prior YTD Data Pull'!$A$2:$A$605,0),MATCH("Salary and Benefit Expense",'Prior YTD Data Pull'!$A$1:$CB$1,0)),"")</f>
        <v>336245173</v>
      </c>
      <c r="AW54" s="38"/>
      <c r="AX54" s="38"/>
      <c r="AY54" s="38"/>
      <c r="AZ54" s="38"/>
    </row>
    <row r="55" spans="1:52" ht="34.200000000000003" x14ac:dyDescent="0.3">
      <c r="A55" s="14" t="str">
        <f>IFERROR(INDEX('Static Data Tab'!$N$2:$N$610,MATCH(D55,'Static Data Tab'!$D$2:$D$610,0)), "")</f>
        <v>Berkshire Health Systems</v>
      </c>
      <c r="B55" s="14" t="s">
        <v>84</v>
      </c>
      <c r="C55" s="14">
        <v>3106</v>
      </c>
      <c r="D55" s="14">
        <v>3106</v>
      </c>
      <c r="E55" s="14" t="str">
        <f>IFERROR(INDEX('Prior YTD Data Pull'!$A$1:$CB$605,MATCH('Prior YTD Data Table'!$C55,'Prior YTD Data Pull'!$A$1:$A$605,0),MATCH("Organization Type",'Prior YTD Data Pull'!$A$1:$CB$1,0)),"")</f>
        <v>HHS</v>
      </c>
      <c r="F55" s="14" t="str">
        <f>IFERROR(INDEX('Static Data Tab'!$E$2:$E$610,MATCH('Prior YTD Data Table'!$C55,'Static Data Tab'!$B$2:$B$610,0)), "-")</f>
        <v>-</v>
      </c>
      <c r="G55" s="46" t="str">
        <f>IFERROR(INDEX('Static Data Tab'!$J$2:$J$610,MATCH('Prior YTD Data Table'!$C55,'Static Data Tab'!$B$2:$B$610,0)), "")</f>
        <v/>
      </c>
      <c r="H55" s="14" t="str">
        <f>IFERROR(INDEX('Static Data Tab'!$F$2:$F$610,MATCH('Prior YTD Data Table'!$C55,'Static Data Tab'!$B$2:$B$610,0)), "")</f>
        <v/>
      </c>
      <c r="I55" s="14" t="str">
        <f>IFERROR(INDEX('Static Data Tab'!$G$2:$G$610,MATCH('Prior YTD Data Table'!$C55,'Static Data Tab'!$B$2:$B$610,0)), "")</f>
        <v/>
      </c>
      <c r="J55" s="14" t="str">
        <f>IFERROR(INDEX('Prior YTD Data Pull'!$A$2:$CB$605,MATCH('Prior YTD Data Table'!$C55,'Prior YTD Data Pull'!$A$2:$A$605,0),MATCH("Quarter Range",'Prior YTD Data Pull'!$A$1:$CB$1,0)),"")</f>
        <v xml:space="preserve">10/01/2024-03/31/2025
</v>
      </c>
      <c r="K55" s="37">
        <f t="shared" si="2"/>
        <v>5.6217891356389861E-2</v>
      </c>
      <c r="L55" s="37">
        <f t="shared" si="3"/>
        <v>-1.0427981333946771E-2</v>
      </c>
      <c r="M55" s="37">
        <f t="shared" si="4"/>
        <v>4.5789910022443092E-2</v>
      </c>
      <c r="N55" s="38">
        <f t="shared" si="5"/>
        <v>21537328</v>
      </c>
      <c r="O55" s="39">
        <f t="shared" si="6"/>
        <v>1.9670179426188676</v>
      </c>
      <c r="P55" s="38">
        <f>IFERROR(INDEX('Prior YTD Data Pull'!$A$2:$CB$605,MATCH('Prior YTD Data Table'!$C55,'Prior YTD Data Pull'!$A$2:$A$605,0),MATCH("Total Net Assets or Equity",'Prior YTD Data Pull'!$A$1:$CB$1,0)),"")</f>
        <v>772600343</v>
      </c>
      <c r="Q55" s="38">
        <f>IFERROR(INDEX('Prior YTD Data Pull'!$A$2:$CB$605,MATCH('Prior YTD Data Table'!$C55,'Prior YTD Data Pull'!$A$2:$A$605,0),MATCH("Total Operating Revenue",'Prior YTD Data Pull'!$A$1:$CB$1,0)),"")</f>
        <v>475255768</v>
      </c>
      <c r="R55" s="38">
        <f>IFERROR(INDEX('Prior YTD Data Pull'!$A$2:$CB$605,MATCH('Prior YTD Data Table'!$C55,'Prior YTD Data Pull'!$A$2:$A$605,0),MATCH("Total Unrestricted Revenue Gains and Other Support",'Prior YTD Data Pull'!$A$1:$CB$1,0)),"")</f>
        <v>470350957</v>
      </c>
      <c r="S55" s="38">
        <f>IFERROR(INDEX('Prior YTD TS Data Pull'!$J$2:$J$128,MATCH('Prior YTD Data Table'!$C55, 'Prior YTD TS Data Pull'!$A$2:$A$128,0))+INDEX('Prior YTD TS Data Pull'!$N$2:$N$128,MATCH('Prior YTD Data Table'!$C55,'Prior YTD TS Data Pull'!$A$2:$A$609,0))+INDEX('Prior YTD TS Data Pull'!$R$2:$R$128,MATCH('Prior YTD Data Table'!$C55,'Prior YTD TS Data Pull'!$A$2:$A$609,0)),"")</f>
        <v>16170299</v>
      </c>
      <c r="T55" s="38">
        <f>IF(INDEX('Prior YTD TS Data Pull'!$A$1:$O$609,MATCH('Prior YTD Data Table'!$C55,'Prior YTD TS Data Pull'!$A$1:$A$609,0),MATCH("Temporary RN Staffing:
Line Reported on in Standardized Financials",'Prior YTD TS Data Pull'!$A$1:$O$1,0))="66.1: Salary and Benefit Expense",'Prior YTD Data Table'!$AV55-'Prior YTD Data Table'!$S55,0)</f>
        <v>0</v>
      </c>
      <c r="U55" s="38">
        <f>IFERROR(INDEX('Prior YTD Data Pull'!$A$2:$CB$605,MATCH('Prior YTD Data Table'!$C55,'Prior YTD Data Pull'!$A$2:$A$605,0),MATCH("Total Expenses Including Nonrecurring Gains Losses",'Prior YTD Data Pull'!$A$1:$CB$1,0)),"")</f>
        <v>448813629</v>
      </c>
      <c r="V55" s="41">
        <f t="shared" si="7"/>
        <v>0</v>
      </c>
      <c r="W55" s="41">
        <f t="shared" si="8"/>
        <v>36.781667727998212</v>
      </c>
      <c r="X55" s="41">
        <f t="shared" si="0"/>
        <v>43.622492813540717</v>
      </c>
      <c r="Y55" s="37">
        <f t="shared" si="9"/>
        <v>1.7497898290008609</v>
      </c>
      <c r="Z55" s="41">
        <f t="shared" si="1"/>
        <v>93.304269012669138</v>
      </c>
      <c r="AA55" s="39">
        <f t="shared" si="10"/>
        <v>1.7456888612764305</v>
      </c>
      <c r="AB55" s="37">
        <f t="shared" si="11"/>
        <v>0.74643493663924732</v>
      </c>
      <c r="AC55" s="37">
        <f t="shared" si="12"/>
        <v>4.6502697141718258E-2</v>
      </c>
      <c r="AD55" s="38">
        <f>IFERROR(INDEX('Prior YTD Data Pull'!$A$2:$CB$605,MATCH('Prior YTD Data Table'!$C55,'Prior YTD Data Pull'!$A$2:$A$605,0),MATCH("Net Patient Service Revenue",'Prior YTD Data Pull'!$A$1:$CB$1,0)),"")</f>
        <v>366321283</v>
      </c>
      <c r="AE55" s="38">
        <f>IFERROR(INDEX('Prior YTD Data Pull'!$A$2:$CB$605,MATCH('Prior YTD Data Table'!$C55,'Prior YTD Data Pull'!$A$2:$A$605,0),MATCH("Total Current Assets",'Prior YTD Data Pull'!$A$1:$CB$1,0)),"")</f>
        <v>337642080</v>
      </c>
      <c r="AF55" s="38">
        <f>IFERROR(INDEX('Prior YTD Data Pull'!$A$2:$CB$605,MATCH('Prior YTD Data Table'!$C55,'Prior YTD Data Pull'!$A$2:$A$605,0),MATCH("Total Current Liabilities",'Prior YTD Data Pull'!$A$1:$CB$1,0)),"")</f>
        <v>171651754</v>
      </c>
      <c r="AG55" s="38">
        <f>IFERROR(INDEX('Prior YTD Data Pull'!$A$2:$CB$605,MATCH('Prior YTD Data Table'!$C55,'Prior YTD Data Pull'!$A$2:$A$605,0),MATCH("Total Non Operating Revenue",'Prior YTD Data Pull'!$A$1:$CB$1,0)),"")</f>
        <v>-4904811</v>
      </c>
      <c r="AH55" s="38">
        <f>IFERROR(INDEX('Prior YTD Data Pull'!$A$2:$CB$605,MATCH('Prior YTD Data Table'!$C55,'Prior Year Data Pull'!$A$2:$A$593,0),MATCH("Less Accumulated Depreciation",'Prior YTD Data Pull'!$A$1:$CB$1,0)),"")</f>
        <v>0</v>
      </c>
      <c r="AI55" s="38">
        <f>IFERROR(INDEX('Prior YTD Data Pull'!$A$2:$CB$605,MATCH('Prior YTD Data Table'!$C55,'Prior YTD Data Pull'!$A$2:$A$605,0),MATCH("Depreciation and Amortization Expense",'Prior YTD Data Pull'!$A$1:$CB$1,0)),"")</f>
        <v>10756461</v>
      </c>
      <c r="AJ55" s="38">
        <f>IFERROR(INDEX('Prior YTD Data Pull'!$A$2:$CB$605,MATCH('Prior YTD Data Table'!$C55,'Prior YTD Data Pull'!$A$2:$A$605,0),MATCH("Net Patient Accounts Receivable",'Prior YTD Data Pull'!$A$1:$CB$1,0)),"")</f>
        <v>73627911</v>
      </c>
      <c r="AK55" s="14" t="str">
        <f>IF('Prior YTD Data Pull'!$H55 = 6, "183", IF('Prior YTD Data Pull'!$H55 = 3, "93",""))</f>
        <v>183</v>
      </c>
      <c r="AL55" s="38">
        <f>IFERROR(INDEX('Prior YTD Data Pull'!$A$2:$CB$605,MATCH('Prior YTD Data Table'!$C55,'Prior YTD Data Pull'!$A$2:$A$605,0),MATCH("Estimated Third Party Settlements",'Prior YTD Data Pull'!$A$1:$CB$1,0)),"")</f>
        <v>67230193</v>
      </c>
      <c r="AM55" s="38">
        <f>IFERROR(INDEX('Prior YTD Data Pull'!$A$2:$CB$605,MATCH('Prior YTD Data Table'!$C55,'Prior YTD Data Pull'!$A$2:$A$605,0),MATCH("Current Liabilities due to Affiliates",'Prior YTD Data Pull'!$A$1:$CB$1,0)),"")</f>
        <v>0</v>
      </c>
      <c r="AN55" s="38">
        <f>IFERROR(INDEX('Prior YTD Data Pull'!$A$2:$CB$605,MATCH('Prior YTD Data Table'!$C55,'Prior YTD Data Pull'!$A$2:$A$605,0),MATCH("Short Term Investments",'Prior YTD Data Pull'!$A$1:$CB$1,0)),"")</f>
        <v>0</v>
      </c>
      <c r="AO55" s="38">
        <f>IFERROR(INDEX('Prior YTD Data Pull'!$A$2:$CB$605,MATCH('Prior YTD Data Table'!$C55,'Prior YTD Data Pull'!$A$2:$A$605,0),MATCH("Cash and Cash Equivalents",'Prior YTD Data Pull'!$A$1:$CB$1,0)),"")</f>
        <v>223347562</v>
      </c>
      <c r="AP55" s="38">
        <f>IFERROR(INDEX('Prior YTD Data Pull'!$A$2:$CB$605,MATCH('Prior YTD Data Table'!$C55,'Prior YTD Data Pull'!$A$2:$A$605,0),MATCH("Interest Expense",'Prior YTD Data Pull'!$A$1:$CB$1,0)),"")</f>
        <v>192904</v>
      </c>
      <c r="AQ55" s="38">
        <f>IFERROR(INDEX('Prior YTD Data Pull'!$A$2:$CB$605,MATCH('Prior YTD Data Table'!$C55,'Prior YTD Data Pull'!$A$2:$A$605,0),MATCH("Long Term Debt Net of Current Portion",'Prior YTD Data Pull'!$A$1:$CB$1,0)),"")</f>
        <v>35076200</v>
      </c>
      <c r="AR55" s="38">
        <f>IFERROR(INDEX('Prior YTD Data Pull'!$A$2:$CB$605,MATCH('Prior YTD Data Table'!$C55,'Prior YTD Data Pull'!$A$2:$A$605,0),MATCH("Total Assets",'Prior YTD Data Pull'!$A$1:$CB$1,0)),"")</f>
        <v>1035053834</v>
      </c>
      <c r="AS55" s="38">
        <f>IFERROR(INDEX('Prior YTD Data Pull'!$A$2:$CB$605,MATCH('Prior YTD Data Table'!$C55,'Prior YTD Data Pull'!$A$2:$A$605,0),MATCH("Long Term Debt Net of Current Portion",'Prior YTD Data Pull'!$A$1:$CB$1,0)),"")</f>
        <v>35076200</v>
      </c>
      <c r="AT55" s="38">
        <f>IFERROR(INDEX('Prior YTD Data Pull'!$A$2:$CB$605,MATCH('Prior YTD Data Table'!$C55,'Prior YTD Data Pull'!$A$2:$A$605,0),MATCH("Net Unrestricted Assets",'Prior YTD Data Pull'!$A$1:$CB$1,0)),"")</f>
        <v>719206931</v>
      </c>
      <c r="AU55" s="38">
        <f>IFERROR(INDEX('Prior YTD Data Pull'!$A$2:$CB$605,MATCH('Prior YTD Data Table'!$C55,'Prior YTD Data Pull'!$A$2:$A$605,0),MATCH("Unrealized Gains/Losses",'Prior YTD Data Pull'!$A$1:$CB$1,0)),"")</f>
        <v>-29082189</v>
      </c>
      <c r="AV55" s="38">
        <f>IFERROR(INDEX('Prior YTD Data Pull'!$A$2:$CB$605,MATCH('Prior YTD Data Table'!$C55,'Prior YTD Data Pull'!$A$2:$A$605,0),MATCH("Salary and Benefit Expense",'Prior YTD Data Pull'!$A$1:$CB$1,0)),"")</f>
        <v>246763196</v>
      </c>
      <c r="AW55" s="47"/>
      <c r="AX55" s="47"/>
      <c r="AY55" s="47"/>
      <c r="AZ55" s="47"/>
    </row>
    <row r="56" spans="1:52" ht="34.200000000000003" x14ac:dyDescent="0.3">
      <c r="A56" s="14" t="str">
        <f>IFERROR(INDEX('Static Data Tab'!$N$2:$N$610,MATCH(D56,'Static Data Tab'!$D$2:$D$610,0)), "")</f>
        <v>Boston Children's Hospital and Subsid.</v>
      </c>
      <c r="B56" s="57" t="s">
        <v>113</v>
      </c>
      <c r="C56" s="57">
        <v>14286</v>
      </c>
      <c r="D56" s="57">
        <v>14286</v>
      </c>
      <c r="E56" s="14" t="str">
        <f>IFERROR(INDEX('Prior YTD Data Pull'!$A$1:$CB$605,MATCH('Prior YTD Data Table'!$C56,'Prior YTD Data Pull'!$A$1:$A$605,0),MATCH("Organization Type",'Prior YTD Data Pull'!$A$1:$CB$1,0)),"")</f>
        <v>HHS</v>
      </c>
      <c r="F56" s="14" t="str">
        <f>IFERROR(INDEX('Static Data Tab'!$E$2:$E$610,MATCH('Prior YTD Data Table'!$C56,'Static Data Tab'!$B$2:$B$610,0)), "-")</f>
        <v>-</v>
      </c>
      <c r="G56" s="46" t="str">
        <f>IFERROR(INDEX('Static Data Tab'!$J$2:$J$610,MATCH('Prior YTD Data Table'!$C56,'Static Data Tab'!$B$2:$B$610,0)), "")</f>
        <v/>
      </c>
      <c r="H56" s="14" t="str">
        <f>IFERROR(INDEX('Static Data Tab'!$F$2:$F$610,MATCH('Prior YTD Data Table'!$C56,'Static Data Tab'!$B$2:$B$610,0)), "")</f>
        <v/>
      </c>
      <c r="I56" s="14" t="str">
        <f>IFERROR(INDEX('Static Data Tab'!$G$2:$G$610,MATCH('Prior YTD Data Table'!$C56,'Static Data Tab'!$B$2:$B$610,0)), "")</f>
        <v/>
      </c>
      <c r="J56" s="14" t="str">
        <f>IFERROR(INDEX('Prior YTD Data Pull'!$A$2:$CB$605,MATCH('Prior YTD Data Table'!$C56,'Prior YTD Data Pull'!$A$2:$A$605,0),MATCH("Quarter Range",'Prior YTD Data Pull'!$A$1:$CB$1,0)),"")</f>
        <v xml:space="preserve">10/01/2024-03/31/2025
</v>
      </c>
      <c r="K56" s="37">
        <f t="shared" si="2"/>
        <v>-2.3616254704165406E-2</v>
      </c>
      <c r="L56" s="37">
        <f t="shared" si="3"/>
        <v>4.4547311408036375E-2</v>
      </c>
      <c r="M56" s="37">
        <f t="shared" si="4"/>
        <v>2.0931056703870968E-2</v>
      </c>
      <c r="N56" s="38">
        <f t="shared" si="5"/>
        <v>47487000</v>
      </c>
      <c r="O56" s="39">
        <f t="shared" si="6"/>
        <v>1.5600617488146433</v>
      </c>
      <c r="P56" s="38">
        <f>IFERROR(INDEX('Prior YTD Data Pull'!$A$2:$CB$605,MATCH('Prior YTD Data Table'!$C56,'Prior YTD Data Pull'!$A$2:$A$605,0),MATCH("Total Net Assets or Equity",'Prior YTD Data Pull'!$A$1:$CB$1,0)),"")</f>
        <v>8545530000</v>
      </c>
      <c r="Q56" s="38">
        <f>IFERROR(INDEX('Prior YTD Data Pull'!$A$2:$CB$605,MATCH('Prior YTD Data Table'!$C56,'Prior YTD Data Pull'!$A$2:$A$605,0),MATCH("Total Operating Revenue",'Prior YTD Data Pull'!$A$1:$CB$1,0)),"")</f>
        <v>2167668000</v>
      </c>
      <c r="R56" s="38">
        <f>IFERROR(INDEX('Prior YTD Data Pull'!$A$2:$CB$605,MATCH('Prior YTD Data Table'!$C56,'Prior YTD Data Pull'!$A$2:$A$605,0),MATCH("Total Unrestricted Revenue Gains and Other Support",'Prior YTD Data Pull'!$A$1:$CB$1,0)),"")</f>
        <v>2268734000</v>
      </c>
      <c r="S56" s="38">
        <f>IFERROR(INDEX('Prior YTD TS Data Pull'!$J$2:$J$128,MATCH('Prior YTD Data Table'!$C56, 'Prior YTD TS Data Pull'!$A$2:$A$128,0))+INDEX('Prior YTD TS Data Pull'!$N$2:$N$128,MATCH('Prior YTD Data Table'!$C56,'Prior YTD TS Data Pull'!$A$2:$A$609,0))+INDEX('Prior YTD TS Data Pull'!$R$2:$R$128,MATCH('Prior YTD Data Table'!$C56,'Prior YTD TS Data Pull'!$A$2:$A$609,0)),"")</f>
        <v>14087298.582857141</v>
      </c>
      <c r="T56" s="38">
        <f>IF(INDEX('Prior YTD TS Data Pull'!$A$1:$O$609,MATCH('Prior YTD Data Table'!$C56,'Prior YTD TS Data Pull'!$A$1:$A$609,0),MATCH("Temporary RN Staffing:
Line Reported on in Standardized Financials",'Prior YTD TS Data Pull'!$A$1:$O$1,0))="66.1: Salary and Benefit Expense",'Prior YTD Data Table'!$AV56-'Prior YTD Data Table'!$S56,0)</f>
        <v>1236498701.4171429</v>
      </c>
      <c r="U56" s="38">
        <f>IFERROR(INDEX('Prior YTD Data Pull'!$A$2:$CB$605,MATCH('Prior YTD Data Table'!$C56,'Prior YTD Data Pull'!$A$2:$A$605,0),MATCH("Total Expenses Including Nonrecurring Gains Losses",'Prior YTD Data Pull'!$A$1:$CB$1,0)),"")</f>
        <v>2221247000</v>
      </c>
      <c r="V56" s="41">
        <f t="shared" si="7"/>
        <v>0</v>
      </c>
      <c r="W56" s="41">
        <f t="shared" si="8"/>
        <v>63.316952707606539</v>
      </c>
      <c r="X56" s="41">
        <f t="shared" si="0"/>
        <v>65.813936041754459</v>
      </c>
      <c r="Y56" s="37">
        <f t="shared" si="9"/>
        <v>0.19432315157069047</v>
      </c>
      <c r="Z56" s="41">
        <f t="shared" si="1"/>
        <v>19.357787576839275</v>
      </c>
      <c r="AA56" s="39">
        <f t="shared" si="10"/>
        <v>0.202173366226479</v>
      </c>
      <c r="AB56" s="37">
        <f t="shared" si="11"/>
        <v>0.68962759514293415</v>
      </c>
      <c r="AC56" s="37">
        <f t="shared" si="12"/>
        <v>0.2105129097655794</v>
      </c>
      <c r="AD56" s="38">
        <f>IFERROR(INDEX('Prior YTD Data Pull'!$A$2:$CB$605,MATCH('Prior YTD Data Table'!$C56,'Prior YTD Data Pull'!$A$2:$A$605,0),MATCH("Net Patient Service Revenue",'Prior YTD Data Pull'!$A$1:$CB$1,0)),"")</f>
        <v>1754003000</v>
      </c>
      <c r="AE56" s="38">
        <f>IFERROR(INDEX('Prior YTD Data Pull'!$A$2:$CB$605,MATCH('Prior YTD Data Table'!$C56,'Prior YTD Data Pull'!$A$2:$A$605,0),MATCH("Total Current Assets",'Prior YTD Data Pull'!$A$1:$CB$1,0)),"")</f>
        <v>1202597000</v>
      </c>
      <c r="AF56" s="38">
        <f>IFERROR(INDEX('Prior YTD Data Pull'!$A$2:$CB$605,MATCH('Prior YTD Data Table'!$C56,'Prior YTD Data Pull'!$A$2:$A$605,0),MATCH("Total Current Liabilities",'Prior YTD Data Pull'!$A$1:$CB$1,0)),"")</f>
        <v>770865000</v>
      </c>
      <c r="AG56" s="38">
        <f>IFERROR(INDEX('Prior YTD Data Pull'!$A$2:$CB$605,MATCH('Prior YTD Data Table'!$C56,'Prior YTD Data Pull'!$A$2:$A$605,0),MATCH("Total Non Operating Revenue",'Prior YTD Data Pull'!$A$1:$CB$1,0)),"")</f>
        <v>101066000</v>
      </c>
      <c r="AH56" s="38">
        <f>IFERROR(INDEX('Prior YTD Data Pull'!$A$2:$CB$605,MATCH('Prior YTD Data Table'!$C56,'Prior Year Data Pull'!$A$2:$A$593,0),MATCH("Less Accumulated Depreciation",'Prior YTD Data Pull'!$A$1:$CB$1,0)),"")</f>
        <v>0</v>
      </c>
      <c r="AI56" s="38">
        <f>IFERROR(INDEX('Prior YTD Data Pull'!$A$2:$CB$605,MATCH('Prior YTD Data Table'!$C56,'Prior YTD Data Pull'!$A$2:$A$605,0),MATCH("Depreciation and Amortization Expense",'Prior YTD Data Pull'!$A$1:$CB$1,0)),"")</f>
        <v>104491000</v>
      </c>
      <c r="AJ56" s="38">
        <f>IFERROR(INDEX('Prior YTD Data Pull'!$A$2:$CB$605,MATCH('Prior YTD Data Table'!$C56,'Prior YTD Data Pull'!$A$2:$A$605,0),MATCH("Net Patient Accounts Receivable",'Prior YTD Data Pull'!$A$1:$CB$1,0)),"")</f>
        <v>606875000</v>
      </c>
      <c r="AK56" s="14" t="str">
        <f>IF('Prior YTD Data Pull'!$H56 = 6, "183", IF('Prior YTD Data Pull'!$H56 = 3, "93",""))</f>
        <v>183</v>
      </c>
      <c r="AL56" s="38">
        <f>IFERROR(INDEX('Prior YTD Data Pull'!$A$2:$CB$605,MATCH('Prior YTD Data Table'!$C56,'Prior YTD Data Pull'!$A$2:$A$605,0),MATCH("Estimated Third Party Settlements",'Prior YTD Data Pull'!$A$1:$CB$1,0)),"")</f>
        <v>9597000</v>
      </c>
      <c r="AM56" s="38">
        <f>IFERROR(INDEX('Prior YTD Data Pull'!$A$2:$CB$605,MATCH('Prior YTD Data Table'!$C56,'Prior YTD Data Pull'!$A$2:$A$605,0),MATCH("Current Liabilities due to Affiliates",'Prior YTD Data Pull'!$A$1:$CB$1,0)),"")</f>
        <v>0</v>
      </c>
      <c r="AN56" s="38">
        <f>IFERROR(INDEX('Prior YTD Data Pull'!$A$2:$CB$605,MATCH('Prior YTD Data Table'!$C56,'Prior YTD Data Pull'!$A$2:$A$605,0),MATCH("Short Term Investments",'Prior YTD Data Pull'!$A$1:$CB$1,0)),"")</f>
        <v>0</v>
      </c>
      <c r="AO56" s="38">
        <f>IFERROR(INDEX('Prior YTD Data Pull'!$A$2:$CB$605,MATCH('Prior YTD Data Table'!$C56,'Prior YTD Data Pull'!$A$2:$A$605,0),MATCH("Cash and Cash Equivalents",'Prior YTD Data Pull'!$A$1:$CB$1,0)),"")</f>
        <v>223911000</v>
      </c>
      <c r="AP56" s="38">
        <f>IFERROR(INDEX('Prior YTD Data Pull'!$A$2:$CB$605,MATCH('Prior YTD Data Table'!$C56,'Prior YTD Data Pull'!$A$2:$A$605,0),MATCH("Interest Expense",'Prior YTD Data Pull'!$A$1:$CB$1,0)),"")</f>
        <v>20143000</v>
      </c>
      <c r="AQ56" s="38">
        <f>IFERROR(INDEX('Prior YTD Data Pull'!$A$2:$CB$605,MATCH('Prior YTD Data Table'!$C56,'Prior YTD Data Pull'!$A$2:$A$605,0),MATCH("Long Term Debt Net of Current Portion",'Prior YTD Data Pull'!$A$1:$CB$1,0)),"")</f>
        <v>2047157000</v>
      </c>
      <c r="AR56" s="38">
        <f>IFERROR(INDEX('Prior YTD Data Pull'!$A$2:$CB$605,MATCH('Prior YTD Data Table'!$C56,'Prior YTD Data Pull'!$A$2:$A$605,0),MATCH("Total Assets",'Prior YTD Data Pull'!$A$1:$CB$1,0)),"")</f>
        <v>12391514000</v>
      </c>
      <c r="AS56" s="38">
        <f>IFERROR(INDEX('Prior YTD Data Pull'!$A$2:$CB$605,MATCH('Prior YTD Data Table'!$C56,'Prior YTD Data Pull'!$A$2:$A$605,0),MATCH("Long Term Debt Net of Current Portion",'Prior YTD Data Pull'!$A$1:$CB$1,0)),"")</f>
        <v>2047157000</v>
      </c>
      <c r="AT56" s="38">
        <f>IFERROR(INDEX('Prior YTD Data Pull'!$A$2:$CB$605,MATCH('Prior YTD Data Table'!$C56,'Prior YTD Data Pull'!$A$2:$A$605,0),MATCH("Net Unrestricted Assets",'Prior YTD Data Pull'!$A$1:$CB$1,0)),"")</f>
        <v>7677458000</v>
      </c>
      <c r="AU56" s="38">
        <f>IFERROR(INDEX('Prior YTD Data Pull'!$A$2:$CB$605,MATCH('Prior YTD Data Table'!$C56,'Prior YTD Data Pull'!$A$2:$A$605,0),MATCH("Unrealized Gains/Losses",'Prior YTD Data Pull'!$A$1:$CB$1,0)),"")</f>
        <v>-245832000</v>
      </c>
      <c r="AV56" s="38">
        <f>IFERROR(INDEX('Prior YTD Data Pull'!$A$2:$CB$605,MATCH('Prior YTD Data Table'!$C56,'Prior YTD Data Pull'!$A$2:$A$605,0),MATCH("Salary and Benefit Expense",'Prior YTD Data Pull'!$A$1:$CB$1,0)),"")</f>
        <v>1250586000</v>
      </c>
      <c r="AW56" s="38"/>
      <c r="AX56" s="38"/>
      <c r="AY56" s="38"/>
      <c r="AZ56" s="38"/>
    </row>
    <row r="57" spans="1:52" ht="34.200000000000003" x14ac:dyDescent="0.3">
      <c r="A57" s="14" t="str">
        <f>IFERROR(INDEX('Static Data Tab'!$N$2:$N$610,MATCH(D57,'Static Data Tab'!$D$2:$D$610,0)), "")</f>
        <v>Dana-Farber Cancer Institute and Subsid.</v>
      </c>
      <c r="B57" s="14" t="s">
        <v>127</v>
      </c>
      <c r="C57" s="14">
        <v>13155</v>
      </c>
      <c r="D57" s="14">
        <v>13155</v>
      </c>
      <c r="E57" s="14" t="str">
        <f>IFERROR(INDEX('Prior YTD Data Pull'!$A$1:$CB$605,MATCH('Prior YTD Data Table'!$C57,'Prior YTD Data Pull'!$A$1:$A$605,0),MATCH("Organization Type",'Prior YTD Data Pull'!$A$1:$CB$1,0)),"")</f>
        <v>HHS</v>
      </c>
      <c r="F57" s="14" t="str">
        <f>IFERROR(INDEX('Static Data Tab'!$E$2:$E$610,MATCH('Prior YTD Data Table'!$C57,'Static Data Tab'!$B$2:$B$610,0)), "-")</f>
        <v>-</v>
      </c>
      <c r="G57" s="46" t="str">
        <f>IFERROR(INDEX('Static Data Tab'!$J$2:$J$610,MATCH('Prior YTD Data Table'!$C57,'Static Data Tab'!$B$2:$B$610,0)), "")</f>
        <v/>
      </c>
      <c r="H57" s="14" t="str">
        <f>IFERROR(INDEX('Static Data Tab'!$F$2:$F$610,MATCH('Prior YTD Data Table'!$C57,'Static Data Tab'!$B$2:$B$610,0)), "")</f>
        <v/>
      </c>
      <c r="I57" s="14" t="str">
        <f>IFERROR(INDEX('Static Data Tab'!$G$2:$G$610,MATCH('Prior YTD Data Table'!$C57,'Static Data Tab'!$B$2:$B$610,0)), "")</f>
        <v/>
      </c>
      <c r="J57" s="14" t="str">
        <f>IFERROR(INDEX('Prior YTD Data Pull'!$A$2:$CB$605,MATCH('Prior YTD Data Table'!$C57,'Prior YTD Data Pull'!$A$2:$A$605,0),MATCH("Quarter Range",'Prior YTD Data Pull'!$A$1:$CB$1,0)),"")</f>
        <v xml:space="preserve">10/01/2024-03/31/2025
</v>
      </c>
      <c r="K57" s="37">
        <f t="shared" si="2"/>
        <v>-6.3271904041363389E-2</v>
      </c>
      <c r="L57" s="37">
        <f t="shared" si="3"/>
        <v>0.11777513437302761</v>
      </c>
      <c r="M57" s="37">
        <f t="shared" si="4"/>
        <v>5.4503230331664224E-2</v>
      </c>
      <c r="N57" s="38">
        <f t="shared" si="5"/>
        <v>107078235.43000007</v>
      </c>
      <c r="O57" s="39">
        <f t="shared" si="6"/>
        <v>1.228147673602475</v>
      </c>
      <c r="P57" s="38">
        <f>IFERROR(INDEX('Prior YTD Data Pull'!$A$2:$CB$605,MATCH('Prior YTD Data Table'!$C57,'Prior YTD Data Pull'!$A$2:$A$605,0),MATCH("Total Net Assets or Equity",'Prior YTD Data Pull'!$A$1:$CB$1,0)),"")</f>
        <v>4073514628.1100001</v>
      </c>
      <c r="Q57" s="38">
        <f>IFERROR(INDEX('Prior YTD Data Pull'!$A$2:$CB$605,MATCH('Prior YTD Data Table'!$C57,'Prior YTD Data Pull'!$A$2:$A$605,0),MATCH("Total Operating Revenue",'Prior YTD Data Pull'!$A$1:$CB$1,0)),"")</f>
        <v>1733238218.8900001</v>
      </c>
      <c r="R57" s="38">
        <f>IFERROR(INDEX('Prior YTD Data Pull'!$A$2:$CB$605,MATCH('Prior YTD Data Table'!$C57,'Prior YTD Data Pull'!$A$2:$A$605,0),MATCH("Total Unrestricted Revenue Gains and Other Support",'Prior YTD Data Pull'!$A$1:$CB$1,0)),"")</f>
        <v>1964621817.4300001</v>
      </c>
      <c r="S57" s="38">
        <f>IFERROR(INDEX('Prior YTD TS Data Pull'!$J$2:$J$128,MATCH('Prior YTD Data Table'!$C57, 'Prior YTD TS Data Pull'!$A$2:$A$128,0))+INDEX('Prior YTD TS Data Pull'!$N$2:$N$128,MATCH('Prior YTD Data Table'!$C57,'Prior YTD TS Data Pull'!$A$2:$A$609,0))+INDEX('Prior YTD TS Data Pull'!$R$2:$R$128,MATCH('Prior YTD Data Table'!$C57,'Prior YTD TS Data Pull'!$A$2:$A$609,0)),"")</f>
        <v>1229296.8699999999</v>
      </c>
      <c r="T57" s="38">
        <f>IF(INDEX('Prior YTD TS Data Pull'!$A$1:$O$609,MATCH('Prior YTD Data Table'!$C57,'Prior YTD TS Data Pull'!$A$1:$A$609,0),MATCH("Temporary RN Staffing:
Line Reported on in Standardized Financials",'Prior YTD TS Data Pull'!$A$1:$O$1,0))="66.1: Salary and Benefit Expense",'Prior YTD Data Table'!$AV57-'Prior YTD Data Table'!$S57,0)</f>
        <v>586163413.32000005</v>
      </c>
      <c r="U57" s="38">
        <f>IFERROR(INDEX('Prior YTD Data Pull'!$A$2:$CB$605,MATCH('Prior YTD Data Table'!$C57,'Prior YTD Data Pull'!$A$2:$A$605,0),MATCH("Total Expenses Including Nonrecurring Gains Losses",'Prior YTD Data Pull'!$A$1:$CB$1,0)),"")</f>
        <v>1857543582</v>
      </c>
      <c r="V57" s="41">
        <f t="shared" si="7"/>
        <v>8.0418620305241806</v>
      </c>
      <c r="W57" s="41">
        <f t="shared" si="8"/>
        <v>35.96150417044597</v>
      </c>
      <c r="X57" s="41">
        <f t="shared" si="0"/>
        <v>61.743968722747475</v>
      </c>
      <c r="Y57" s="37">
        <f t="shared" si="9"/>
        <v>0.37389578229003972</v>
      </c>
      <c r="Z57" s="41">
        <f t="shared" si="1"/>
        <v>12.597872606928396</v>
      </c>
      <c r="AA57" s="39">
        <f t="shared" si="10"/>
        <v>0.38614228738791234</v>
      </c>
      <c r="AB57" s="37">
        <f t="shared" si="11"/>
        <v>0.73157620239755394</v>
      </c>
      <c r="AC57" s="37">
        <f t="shared" si="12"/>
        <v>0.17253540187264763</v>
      </c>
      <c r="AD57" s="38">
        <f>IFERROR(INDEX('Prior YTD Data Pull'!$A$2:$CB$605,MATCH('Prior YTD Data Table'!$C57,'Prior YTD Data Pull'!$A$2:$A$605,0),MATCH("Net Patient Service Revenue",'Prior YTD Data Pull'!$A$1:$CB$1,0)),"")</f>
        <v>1465859861.23</v>
      </c>
      <c r="AE57" s="38">
        <f>IFERROR(INDEX('Prior YTD Data Pull'!$A$2:$CB$605,MATCH('Prior YTD Data Table'!$C57,'Prior YTD Data Pull'!$A$2:$A$605,0),MATCH("Total Current Assets",'Prior YTD Data Pull'!$A$1:$CB$1,0)),"")</f>
        <v>806246364.42799997</v>
      </c>
      <c r="AF57" s="38">
        <f>IFERROR(INDEX('Prior YTD Data Pull'!$A$2:$CB$605,MATCH('Prior YTD Data Table'!$C57,'Prior YTD Data Pull'!$A$2:$A$605,0),MATCH("Total Current Liabilities",'Prior YTD Data Pull'!$A$1:$CB$1,0)),"")</f>
        <v>656473469.56500006</v>
      </c>
      <c r="AG57" s="38">
        <f>IFERROR(INDEX('Prior YTD Data Pull'!$A$2:$CB$605,MATCH('Prior YTD Data Table'!$C57,'Prior YTD Data Pull'!$A$2:$A$605,0),MATCH("Total Non Operating Revenue",'Prior YTD Data Pull'!$A$1:$CB$1,0)),"")</f>
        <v>231383598.53999999</v>
      </c>
      <c r="AH57" s="38">
        <f>IFERROR(INDEX('Prior YTD Data Pull'!$A$2:$CB$605,MATCH('Prior YTD Data Table'!$C57,'Prior Year Data Pull'!$A$2:$A$593,0),MATCH("Less Accumulated Depreciation",'Prior YTD Data Pull'!$A$1:$CB$1,0)),"")</f>
        <v>385557790</v>
      </c>
      <c r="AI57" s="38">
        <f>IFERROR(INDEX('Prior YTD Data Pull'!$A$2:$CB$605,MATCH('Prior YTD Data Table'!$C57,'Prior YTD Data Pull'!$A$2:$A$605,0),MATCH("Depreciation and Amortization Expense",'Prior YTD Data Pull'!$A$1:$CB$1,0)),"")</f>
        <v>47943845.409999996</v>
      </c>
      <c r="AJ57" s="38">
        <f>IFERROR(INDEX('Prior YTD Data Pull'!$A$2:$CB$605,MATCH('Prior YTD Data Table'!$C57,'Prior YTD Data Pull'!$A$2:$A$605,0),MATCH("Net Patient Accounts Receivable",'Prior YTD Data Pull'!$A$1:$CB$1,0)),"")</f>
        <v>288057516.46399999</v>
      </c>
      <c r="AK57" s="14" t="str">
        <f>IF('Prior YTD Data Pull'!$H57 = 6, "183", IF('Prior YTD Data Pull'!$H57 = 3, "93",""))</f>
        <v>183</v>
      </c>
      <c r="AL57" s="38">
        <f>IFERROR(INDEX('Prior YTD Data Pull'!$A$2:$CB$605,MATCH('Prior YTD Data Table'!$C57,'Prior YTD Data Pull'!$A$2:$A$605,0),MATCH("Estimated Third Party Settlements",'Prior YTD Data Pull'!$A$1:$CB$1,0)),"")</f>
        <v>45916805.43</v>
      </c>
      <c r="AM57" s="38">
        <f>IFERROR(INDEX('Prior YTD Data Pull'!$A$2:$CB$605,MATCH('Prior YTD Data Table'!$C57,'Prior YTD Data Pull'!$A$2:$A$605,0),MATCH("Current Liabilities due to Affiliates",'Prior YTD Data Pull'!$A$1:$CB$1,0)),"")</f>
        <v>0</v>
      </c>
      <c r="AN57" s="38">
        <f>IFERROR(INDEX('Prior YTD Data Pull'!$A$2:$CB$605,MATCH('Prior YTD Data Table'!$C57,'Prior YTD Data Pull'!$A$2:$A$605,0),MATCH("Short Term Investments",'Prior YTD Data Pull'!$A$1:$CB$1,0)),"")</f>
        <v>0</v>
      </c>
      <c r="AO57" s="38">
        <f>IFERROR(INDEX('Prior YTD Data Pull'!$A$2:$CB$605,MATCH('Prior YTD Data Table'!$C57,'Prior YTD Data Pull'!$A$2:$A$605,0),MATCH("Cash and Cash Equivalents",'Prior YTD Data Pull'!$A$1:$CB$1,0)),"")</f>
        <v>124574354.92399999</v>
      </c>
      <c r="AP57" s="38">
        <f>IFERROR(INDEX('Prior YTD Data Pull'!$A$2:$CB$605,MATCH('Prior YTD Data Table'!$C57,'Prior YTD Data Pull'!$A$2:$A$605,0),MATCH("Interest Expense",'Prior YTD Data Pull'!$A$1:$CB$1,0)),"")</f>
        <v>8786666.1600000001</v>
      </c>
      <c r="AQ57" s="38">
        <f>IFERROR(INDEX('Prior YTD Data Pull'!$A$2:$CB$605,MATCH('Prior YTD Data Table'!$C57,'Prior YTD Data Pull'!$A$2:$A$605,0),MATCH("Long Term Debt Net of Current Portion",'Prior YTD Data Pull'!$A$1:$CB$1,0)),"")</f>
        <v>440432821.23000002</v>
      </c>
      <c r="AR57" s="38">
        <f>IFERROR(INDEX('Prior YTD Data Pull'!$A$2:$CB$605,MATCH('Prior YTD Data Table'!$C57,'Prior YTD Data Pull'!$A$2:$A$605,0),MATCH("Total Assets",'Prior YTD Data Pull'!$A$1:$CB$1,0)),"")</f>
        <v>5568134412.7379999</v>
      </c>
      <c r="AS57" s="38">
        <f>IFERROR(INDEX('Prior YTD Data Pull'!$A$2:$CB$605,MATCH('Prior YTD Data Table'!$C57,'Prior YTD Data Pull'!$A$2:$A$605,0),MATCH("Long Term Debt Net of Current Portion",'Prior YTD Data Pull'!$A$1:$CB$1,0)),"")</f>
        <v>440432821.23000002</v>
      </c>
      <c r="AT57" s="38">
        <f>IFERROR(INDEX('Prior YTD Data Pull'!$A$2:$CB$605,MATCH('Prior YTD Data Table'!$C57,'Prior YTD Data Pull'!$A$2:$A$605,0),MATCH("Net Unrestricted Assets",'Prior YTD Data Pull'!$A$1:$CB$1,0)),"")</f>
        <v>2112277036.8610001</v>
      </c>
      <c r="AU57" s="38">
        <f>IFERROR(INDEX('Prior YTD Data Pull'!$A$2:$CB$605,MATCH('Prior YTD Data Table'!$C57,'Prior YTD Data Pull'!$A$2:$A$605,0),MATCH("Unrealized Gains/Losses",'Prior YTD Data Pull'!$A$1:$CB$1,0)),"")</f>
        <v>-9653893.4000000004</v>
      </c>
      <c r="AV57" s="38">
        <f>IFERROR(INDEX('Prior YTD Data Pull'!$A$2:$CB$605,MATCH('Prior YTD Data Table'!$C57,'Prior YTD Data Pull'!$A$2:$A$605,0),MATCH("Salary and Benefit Expense",'Prior YTD Data Pull'!$A$1:$CB$1,0)),"")</f>
        <v>587392710.19000006</v>
      </c>
      <c r="AW57" s="47"/>
      <c r="AX57" s="47"/>
      <c r="AY57" s="47"/>
      <c r="AZ57" s="47"/>
    </row>
    <row r="58" spans="1:52" ht="34.200000000000003" x14ac:dyDescent="0.3">
      <c r="A58" s="14" t="str">
        <f>IFERROR(INDEX('Static Data Tab'!$N$2:$N$610,MATCH(D58,'Static Data Tab'!$D$2:$D$610,0)), "")</f>
        <v>Boston Medical Center Health System</v>
      </c>
      <c r="B58" s="57" t="s">
        <v>117</v>
      </c>
      <c r="C58" s="57">
        <v>14287</v>
      </c>
      <c r="D58" s="57">
        <v>14287</v>
      </c>
      <c r="E58" s="14" t="str">
        <f>IFERROR(INDEX('Prior YTD Data Pull'!$A$1:$CB$605,MATCH('Prior YTD Data Table'!$C58,'Prior YTD Data Pull'!$A$1:$A$605,0),MATCH("Organization Type",'Prior YTD Data Pull'!$A$1:$CB$1,0)),"")</f>
        <v>HHS</v>
      </c>
      <c r="F58" s="14" t="str">
        <f>IFERROR(INDEX('Static Data Tab'!$E$2:$E$610,MATCH('Prior YTD Data Table'!$C58,'Static Data Tab'!$B$2:$B$610,0)), "-")</f>
        <v>-</v>
      </c>
      <c r="G58" s="46" t="str">
        <f>IFERROR(INDEX('Static Data Tab'!$J$2:$J$610,MATCH('Prior YTD Data Table'!$C58,'Static Data Tab'!$B$2:$B$610,0)), "")</f>
        <v/>
      </c>
      <c r="H58" s="14" t="str">
        <f>IFERROR(INDEX('Static Data Tab'!$F$2:$F$610,MATCH('Prior YTD Data Table'!$C58,'Static Data Tab'!$B$2:$B$610,0)), "")</f>
        <v/>
      </c>
      <c r="I58" s="14" t="str">
        <f>IFERROR(INDEX('Static Data Tab'!$G$2:$G$610,MATCH('Prior YTD Data Table'!$C58,'Static Data Tab'!$B$2:$B$610,0)), "")</f>
        <v/>
      </c>
      <c r="J58" s="14" t="str">
        <f>IFERROR(INDEX('Prior YTD Data Pull'!$A$2:$CB$605,MATCH('Prior YTD Data Table'!$C58,'Prior YTD Data Pull'!$A$2:$A$605,0),MATCH("Quarter Range",'Prior YTD Data Pull'!$A$1:$CB$1,0)),"")</f>
        <v xml:space="preserve">10/01/2024-03/31/2025
</v>
      </c>
      <c r="K58" s="37">
        <f t="shared" si="2"/>
        <v>-4.1135175796735819E-2</v>
      </c>
      <c r="L58" s="37">
        <f t="shared" si="3"/>
        <v>4.6377252968337664E-3</v>
      </c>
      <c r="M58" s="37">
        <f t="shared" si="4"/>
        <v>-3.6497450499902051E-2</v>
      </c>
      <c r="N58" s="38">
        <f t="shared" si="5"/>
        <v>-154615427</v>
      </c>
      <c r="O58" s="39">
        <f t="shared" si="6"/>
        <v>1.0452432232229805</v>
      </c>
      <c r="P58" s="38">
        <f>IFERROR(INDEX('Prior YTD Data Pull'!$A$2:$CB$605,MATCH('Prior YTD Data Table'!$C58,'Prior YTD Data Pull'!$A$2:$A$605,0),MATCH("Total Net Assets or Equity",'Prior YTD Data Pull'!$A$1:$CB$1,0)),"")</f>
        <v>2061558149</v>
      </c>
      <c r="Q58" s="38">
        <f>IFERROR(INDEX('Prior YTD Data Pull'!$A$2:$CB$605,MATCH('Prior YTD Data Table'!$C58,'Prior YTD Data Pull'!$A$2:$A$605,0),MATCH("Total Operating Revenue",'Prior YTD Data Pull'!$A$1:$CB$1,0)),"")</f>
        <v>4216688043</v>
      </c>
      <c r="R58" s="38">
        <f>IFERROR(INDEX('Prior YTD Data Pull'!$A$2:$CB$605,MATCH('Prior YTD Data Table'!$C58,'Prior YTD Data Pull'!$A$2:$A$605,0),MATCH("Total Unrestricted Revenue Gains and Other Support",'Prior YTD Data Pull'!$A$1:$CB$1,0)),"")</f>
        <v>4236335001</v>
      </c>
      <c r="S58" s="38">
        <f>IFERROR(INDEX('Prior YTD TS Data Pull'!$J$2:$J$128,MATCH('Prior YTD Data Table'!$C58, 'Prior YTD TS Data Pull'!$A$2:$A$128,0))+INDEX('Prior YTD TS Data Pull'!$N$2:$N$128,MATCH('Prior YTD Data Table'!$C58,'Prior YTD TS Data Pull'!$A$2:$A$609,0))+INDEX('Prior YTD TS Data Pull'!$R$2:$R$128,MATCH('Prior YTD Data Table'!$C58,'Prior YTD TS Data Pull'!$A$2:$A$609,0)),"")</f>
        <v>14716010</v>
      </c>
      <c r="T58" s="38">
        <f>IF(INDEX('Prior YTD TS Data Pull'!$A$1:$O$609,MATCH('Prior YTD Data Table'!$C58,'Prior YTD TS Data Pull'!$A$1:$A$609,0),MATCH("Temporary RN Staffing:
Line Reported on in Standardized Financials",'Prior YTD TS Data Pull'!$A$1:$O$1,0))="66.1: Salary and Benefit Expense",'Prior YTD Data Table'!$AV58-'Prior YTD Data Table'!$S58,0)</f>
        <v>1139173421</v>
      </c>
      <c r="U58" s="38">
        <f>IFERROR(INDEX('Prior YTD Data Pull'!$A$2:$CB$605,MATCH('Prior YTD Data Table'!$C58,'Prior YTD Data Pull'!$A$2:$A$605,0),MATCH("Total Expenses Including Nonrecurring Gains Losses",'Prior YTD Data Pull'!$A$1:$CB$1,0)),"")</f>
        <v>4390950428</v>
      </c>
      <c r="V58" s="41">
        <f t="shared" si="7"/>
        <v>1.6913847488868907</v>
      </c>
      <c r="W58" s="41">
        <f t="shared" si="8"/>
        <v>54.771500672778267</v>
      </c>
      <c r="X58" s="41">
        <f t="shared" si="0"/>
        <v>70.537255078530109</v>
      </c>
      <c r="Y58" s="37">
        <f t="shared" si="9"/>
        <v>-7.3923371497139692E-2</v>
      </c>
      <c r="Z58" s="41">
        <f t="shared" si="1"/>
        <v>13.652094631434853</v>
      </c>
      <c r="AA58" s="39">
        <f t="shared" si="10"/>
        <v>-5.9702480751201464E-2</v>
      </c>
      <c r="AB58" s="37">
        <f t="shared" si="11"/>
        <v>0.40875631324981149</v>
      </c>
      <c r="AC58" s="37">
        <f t="shared" si="12"/>
        <v>0.35463223201323568</v>
      </c>
      <c r="AD58" s="38">
        <f>IFERROR(INDEX('Prior YTD Data Pull'!$A$2:$CB$605,MATCH('Prior YTD Data Table'!$C58,'Prior YTD Data Pull'!$A$2:$A$605,0),MATCH("Net Patient Service Revenue",'Prior YTD Data Pull'!$A$1:$CB$1,0)),"")</f>
        <v>1069376851</v>
      </c>
      <c r="AE58" s="38">
        <f>IFERROR(INDEX('Prior YTD Data Pull'!$A$2:$CB$605,MATCH('Prior YTD Data Table'!$C58,'Prior YTD Data Pull'!$A$2:$A$605,0),MATCH("Total Current Assets",'Prior YTD Data Pull'!$A$1:$CB$1,0)),"")</f>
        <v>1743289969</v>
      </c>
      <c r="AF58" s="38">
        <f>IFERROR(INDEX('Prior YTD Data Pull'!$A$2:$CB$605,MATCH('Prior YTD Data Table'!$C58,'Prior YTD Data Pull'!$A$2:$A$605,0),MATCH("Total Current Liabilities",'Prior YTD Data Pull'!$A$1:$CB$1,0)),"")</f>
        <v>1667831879</v>
      </c>
      <c r="AG58" s="38">
        <f>IFERROR(INDEX('Prior YTD Data Pull'!$A$2:$CB$605,MATCH('Prior YTD Data Table'!$C58,'Prior YTD Data Pull'!$A$2:$A$605,0),MATCH("Total Non Operating Revenue",'Prior YTD Data Pull'!$A$1:$CB$1,0)),"")</f>
        <v>19646958</v>
      </c>
      <c r="AH58" s="38">
        <f>IFERROR(INDEX('Prior YTD Data Pull'!$A$2:$CB$605,MATCH('Prior YTD Data Table'!$C58,'Prior Year Data Pull'!$A$2:$A$593,0),MATCH("Less Accumulated Depreciation",'Prior YTD Data Pull'!$A$1:$CB$1,0)),"")</f>
        <v>108200000</v>
      </c>
      <c r="AI58" s="38">
        <f>IFERROR(INDEX('Prior YTD Data Pull'!$A$2:$CB$605,MATCH('Prior YTD Data Table'!$C58,'Prior YTD Data Pull'!$A$2:$A$605,0),MATCH("Depreciation and Amortization Expense",'Prior YTD Data Pull'!$A$1:$CB$1,0)),"")</f>
        <v>63971252</v>
      </c>
      <c r="AJ58" s="38">
        <f>IFERROR(INDEX('Prior YTD Data Pull'!$A$2:$CB$605,MATCH('Prior YTD Data Table'!$C58,'Prior YTD Data Pull'!$A$2:$A$605,0),MATCH("Net Patient Accounts Receivable",'Prior YTD Data Pull'!$A$1:$CB$1,0)),"")</f>
        <v>320062158</v>
      </c>
      <c r="AK58" s="14" t="str">
        <f>IF('Prior YTD Data Pull'!$H58 = 6, "183", IF('Prior YTD Data Pull'!$H58 = 3, "93",""))</f>
        <v>183</v>
      </c>
      <c r="AL58" s="38">
        <f>IFERROR(INDEX('Prior YTD Data Pull'!$A$2:$CB$605,MATCH('Prior YTD Data Table'!$C58,'Prior YTD Data Pull'!$A$2:$A$605,0),MATCH("Estimated Third Party Settlements",'Prior YTD Data Pull'!$A$1:$CB$1,0)),"")</f>
        <v>0</v>
      </c>
      <c r="AM58" s="38">
        <f>IFERROR(INDEX('Prior YTD Data Pull'!$A$2:$CB$605,MATCH('Prior YTD Data Table'!$C58,'Prior YTD Data Pull'!$A$2:$A$605,0),MATCH("Current Liabilities due to Affiliates",'Prior YTD Data Pull'!$A$1:$CB$1,0)),"")</f>
        <v>0</v>
      </c>
      <c r="AN58" s="38">
        <f>IFERROR(INDEX('Prior YTD Data Pull'!$A$2:$CB$605,MATCH('Prior YTD Data Table'!$C58,'Prior YTD Data Pull'!$A$2:$A$605,0),MATCH("Short Term Investments",'Prior YTD Data Pull'!$A$1:$CB$1,0)),"")</f>
        <v>0</v>
      </c>
      <c r="AO58" s="38">
        <f>IFERROR(INDEX('Prior YTD Data Pull'!$A$2:$CB$605,MATCH('Prior YTD Data Table'!$C58,'Prior YTD Data Pull'!$A$2:$A$605,0),MATCH("Cash and Cash Equivalents",'Prior YTD Data Pull'!$A$1:$CB$1,0)),"")</f>
        <v>322799613</v>
      </c>
      <c r="AP58" s="38">
        <f>IFERROR(INDEX('Prior YTD Data Pull'!$A$2:$CB$605,MATCH('Prior YTD Data Table'!$C58,'Prior YTD Data Pull'!$A$2:$A$605,0),MATCH("Interest Expense",'Prior YTD Data Pull'!$A$1:$CB$1,0)),"")</f>
        <v>12185137</v>
      </c>
      <c r="AQ58" s="38">
        <f>IFERROR(INDEX('Prior YTD Data Pull'!$A$2:$CB$605,MATCH('Prior YTD Data Table'!$C58,'Prior YTD Data Pull'!$A$2:$A$605,0),MATCH("Long Term Debt Net of Current Portion",'Prior YTD Data Pull'!$A$1:$CB$1,0)),"")</f>
        <v>908003594</v>
      </c>
      <c r="AR58" s="38">
        <f>IFERROR(INDEX('Prior YTD Data Pull'!$A$2:$CB$605,MATCH('Prior YTD Data Table'!$C58,'Prior YTD Data Pull'!$A$2:$A$605,0),MATCH("Total Assets",'Prior YTD Data Pull'!$A$1:$CB$1,0)),"")</f>
        <v>5043489439</v>
      </c>
      <c r="AS58" s="38">
        <f>IFERROR(INDEX('Prior YTD Data Pull'!$A$2:$CB$605,MATCH('Prior YTD Data Table'!$C58,'Prior YTD Data Pull'!$A$2:$A$605,0),MATCH("Long Term Debt Net of Current Portion",'Prior YTD Data Pull'!$A$1:$CB$1,0)),"")</f>
        <v>908003594</v>
      </c>
      <c r="AT58" s="38">
        <f>IFERROR(INDEX('Prior YTD Data Pull'!$A$2:$CB$605,MATCH('Prior YTD Data Table'!$C58,'Prior YTD Data Pull'!$A$2:$A$605,0),MATCH("Net Unrestricted Assets",'Prior YTD Data Pull'!$A$1:$CB$1,0)),"")</f>
        <v>1652405506</v>
      </c>
      <c r="AU58" s="38">
        <f>IFERROR(INDEX('Prior YTD Data Pull'!$A$2:$CB$605,MATCH('Prior YTD Data Table'!$C58,'Prior YTD Data Pull'!$A$2:$A$605,0),MATCH("Unrealized Gains/Losses",'Prior YTD Data Pull'!$A$1:$CB$1,0)),"")</f>
        <v>-23521488</v>
      </c>
      <c r="AV58" s="38">
        <f>IFERROR(INDEX('Prior YTD Data Pull'!$A$2:$CB$605,MATCH('Prior YTD Data Table'!$C58,'Prior YTD Data Pull'!$A$2:$A$605,0),MATCH("Salary and Benefit Expense",'Prior YTD Data Pull'!$A$1:$CB$1,0)),"")</f>
        <v>1153889431</v>
      </c>
      <c r="AW58" s="38"/>
      <c r="AX58" s="38"/>
      <c r="AY58" s="38"/>
      <c r="AZ58" s="38"/>
    </row>
    <row r="59" spans="1:52" ht="34.200000000000003" x14ac:dyDescent="0.3">
      <c r="A59" s="14" t="str">
        <f>IFERROR(INDEX('Static Data Tab'!$N$2:$N$610,MATCH(D59,'Static Data Tab'!$D$2:$D$610,0)), "")</f>
        <v>Heywood Healthcare</v>
      </c>
      <c r="B59" s="14" t="s">
        <v>133</v>
      </c>
      <c r="C59" s="14">
        <v>12807</v>
      </c>
      <c r="D59" s="14">
        <v>12807</v>
      </c>
      <c r="E59" s="14" t="str">
        <f>IFERROR(INDEX('Prior YTD Data Pull'!$A$1:$CB$605,MATCH('Prior YTD Data Table'!$C59,'Prior YTD Data Pull'!$A$1:$A$605,0),MATCH("Organization Type",'Prior YTD Data Pull'!$A$1:$CB$1,0)),"")</f>
        <v>HHS</v>
      </c>
      <c r="F59" s="14" t="str">
        <f>IFERROR(INDEX('Static Data Tab'!$E$2:$E$610,MATCH('Prior YTD Data Table'!$C59,'Static Data Tab'!$B$2:$B$610,0)), "-")</f>
        <v>-</v>
      </c>
      <c r="G59" s="46" t="str">
        <f>IFERROR(INDEX('Static Data Tab'!$J$2:$J$610,MATCH('Prior YTD Data Table'!$C59,'Static Data Tab'!$B$2:$B$610,0)), "")</f>
        <v/>
      </c>
      <c r="H59" s="14" t="str">
        <f>IFERROR(INDEX('Static Data Tab'!$F$2:$F$610,MATCH('Prior YTD Data Table'!$C59,'Static Data Tab'!$B$2:$B$610,0)), "")</f>
        <v/>
      </c>
      <c r="I59" s="14" t="str">
        <f>IFERROR(INDEX('Static Data Tab'!$G$2:$G$610,MATCH('Prior YTD Data Table'!$C59,'Static Data Tab'!$B$2:$B$610,0)), "")</f>
        <v/>
      </c>
      <c r="J59" s="14" t="str">
        <f>IFERROR(INDEX('Prior YTD Data Pull'!$A$2:$CB$605,MATCH('Prior YTD Data Table'!$C59,'Prior YTD Data Pull'!$A$2:$A$605,0),MATCH("Quarter Range",'Prior YTD Data Pull'!$A$1:$CB$1,0)),"")</f>
        <v xml:space="preserve">10/01/2024-03/31/2025
</v>
      </c>
      <c r="K59" s="37">
        <f t="shared" si="2"/>
        <v>-1.3542870669699134E-4</v>
      </c>
      <c r="L59" s="37">
        <f t="shared" si="3"/>
        <v>1.4821641053752632E-4</v>
      </c>
      <c r="M59" s="37">
        <f t="shared" si="4"/>
        <v>1.2787703840534994E-5</v>
      </c>
      <c r="N59" s="38">
        <f t="shared" si="5"/>
        <v>1607</v>
      </c>
      <c r="O59" s="39">
        <f t="shared" si="6"/>
        <v>1.0732936015244048</v>
      </c>
      <c r="P59" s="38">
        <f>IFERROR(INDEX('Prior YTD Data Pull'!$A$2:$CB$605,MATCH('Prior YTD Data Table'!$C59,'Prior YTD Data Pull'!$A$2:$A$605,0),MATCH("Total Net Assets or Equity",'Prior YTD Data Pull'!$A$1:$CB$1,0)),"")</f>
        <v>-1839578</v>
      </c>
      <c r="Q59" s="38">
        <f>IFERROR(INDEX('Prior YTD Data Pull'!$A$2:$CB$605,MATCH('Prior YTD Data Table'!$C59,'Prior YTD Data Pull'!$A$2:$A$605,0),MATCH("Total Operating Revenue",'Prior YTD Data Pull'!$A$1:$CB$1,0)),"")</f>
        <v>125648970</v>
      </c>
      <c r="R59" s="38">
        <f>IFERROR(INDEX('Prior YTD Data Pull'!$A$2:$CB$605,MATCH('Prior YTD Data Table'!$C59,'Prior YTD Data Pull'!$A$2:$A$605,0),MATCH("Total Unrestricted Revenue Gains and Other Support",'Prior YTD Data Pull'!$A$1:$CB$1,0)),"")</f>
        <v>125667596</v>
      </c>
      <c r="S59" s="38">
        <f>IFERROR(INDEX('Prior YTD TS Data Pull'!$J$2:$J$128,MATCH('Prior YTD Data Table'!$C59, 'Prior YTD TS Data Pull'!$A$2:$A$128,0))+INDEX('Prior YTD TS Data Pull'!$N$2:$N$128,MATCH('Prior YTD Data Table'!$C59,'Prior YTD TS Data Pull'!$A$2:$A$609,0))+INDEX('Prior YTD TS Data Pull'!$R$2:$R$128,MATCH('Prior YTD Data Table'!$C59,'Prior YTD TS Data Pull'!$A$2:$A$609,0)),"")</f>
        <v>318036.75</v>
      </c>
      <c r="T59" s="38">
        <f>IF(INDEX('Prior YTD TS Data Pull'!$A$1:$O$609,MATCH('Prior YTD Data Table'!$C59,'Prior YTD TS Data Pull'!$A$1:$A$609,0),MATCH("Temporary RN Staffing:
Line Reported on in Standardized Financials",'Prior YTD TS Data Pull'!$A$1:$O$1,0))="66.1: Salary and Benefit Expense",'Prior YTD Data Table'!$AV59-'Prior YTD Data Table'!$S59,0)</f>
        <v>0</v>
      </c>
      <c r="U59" s="38">
        <f>IFERROR(INDEX('Prior YTD Data Pull'!$A$2:$CB$605,MATCH('Prior YTD Data Table'!$C59,'Prior YTD Data Pull'!$A$2:$A$605,0),MATCH("Total Expenses Including Nonrecurring Gains Losses",'Prior YTD Data Pull'!$A$1:$CB$1,0)),"")</f>
        <v>125665989</v>
      </c>
      <c r="V59" s="41">
        <f t="shared" si="7"/>
        <v>229.23021140603828</v>
      </c>
      <c r="W59" s="41" t="str">
        <f t="shared" si="8"/>
        <v/>
      </c>
      <c r="X59" s="41" t="str">
        <f t="shared" si="0"/>
        <v/>
      </c>
      <c r="Y59" s="37">
        <f t="shared" si="9"/>
        <v>4.8382321492030159E-2</v>
      </c>
      <c r="Z59" s="41" t="str">
        <f t="shared" si="1"/>
        <v/>
      </c>
      <c r="AA59" s="39">
        <f t="shared" si="10"/>
        <v>5.5905209989786556E-2</v>
      </c>
      <c r="AB59" s="37">
        <f t="shared" si="11"/>
        <v>-1.1112987730585625E-2</v>
      </c>
      <c r="AC59" s="37">
        <f t="shared" si="12"/>
        <v>1.1576371798235521</v>
      </c>
      <c r="AD59" s="38">
        <f>IFERROR(INDEX('Prior YTD Data Pull'!$A$2:$CB$605,MATCH('Prior YTD Data Table'!$C59,'Prior YTD Data Pull'!$A$2:$A$605,0),MATCH("Net Patient Service Revenue",'Prior YTD Data Pull'!$A$1:$CB$1,0)),"")</f>
        <v>107945575</v>
      </c>
      <c r="AE59" s="38">
        <f>IFERROR(INDEX('Prior YTD Data Pull'!$A$2:$CB$605,MATCH('Prior YTD Data Table'!$C59,'Prior YTD Data Pull'!$A$2:$A$605,0),MATCH("Total Current Assets",'Prior YTD Data Pull'!$A$1:$CB$1,0)),"")</f>
        <v>64392343</v>
      </c>
      <c r="AF59" s="38">
        <f>IFERROR(INDEX('Prior YTD Data Pull'!$A$2:$CB$605,MATCH('Prior YTD Data Table'!$C59,'Prior YTD Data Pull'!$A$2:$A$605,0),MATCH("Total Current Liabilities",'Prior YTD Data Pull'!$A$1:$CB$1,0)),"")</f>
        <v>59995087</v>
      </c>
      <c r="AG59" s="38">
        <f>IFERROR(INDEX('Prior YTD Data Pull'!$A$2:$CB$605,MATCH('Prior YTD Data Table'!$C59,'Prior YTD Data Pull'!$A$2:$A$605,0),MATCH("Total Non Operating Revenue",'Prior YTD Data Pull'!$A$1:$CB$1,0)),"")</f>
        <v>18626</v>
      </c>
      <c r="AH59" s="38">
        <f>IFERROR(INDEX('Prior YTD Data Pull'!$A$2:$CB$605,MATCH('Prior YTD Data Table'!$C59,'Prior Year Data Pull'!$A$2:$A$593,0),MATCH("Less Accumulated Depreciation",'Prior YTD Data Pull'!$A$1:$CB$1,0)),"")</f>
        <v>756698326.28999996</v>
      </c>
      <c r="AI59" s="38">
        <f>IFERROR(INDEX('Prior YTD Data Pull'!$A$2:$CB$605,MATCH('Prior YTD Data Table'!$C59,'Prior YTD Data Pull'!$A$2:$A$605,0),MATCH("Depreciation and Amortization Expense",'Prior YTD Data Pull'!$A$1:$CB$1,0)),"")</f>
        <v>3301041</v>
      </c>
      <c r="AJ59" s="38">
        <f>IFERROR(INDEX('Prior YTD Data Pull'!$A$2:$CB$605,MATCH('Prior YTD Data Table'!$C59,'Prior YTD Data Pull'!$A$2:$A$605,0),MATCH("Net Patient Accounts Receivable",'Prior YTD Data Pull'!$A$1:$CB$1,0)),"")</f>
        <v>28306401</v>
      </c>
      <c r="AK59" s="14" t="str">
        <f>IF('Prior YTD Data Pull'!$H59 = 6, "183", IF('Prior YTD Data Pull'!$H59 = 3, "93",""))</f>
        <v/>
      </c>
      <c r="AL59" s="38">
        <f>IFERROR(INDEX('Prior YTD Data Pull'!$A$2:$CB$605,MATCH('Prior YTD Data Table'!$C59,'Prior YTD Data Pull'!$A$2:$A$605,0),MATCH("Estimated Third Party Settlements",'Prior YTD Data Pull'!$A$1:$CB$1,0)),"")</f>
        <v>5274790</v>
      </c>
      <c r="AM59" s="38">
        <f>IFERROR(INDEX('Prior YTD Data Pull'!$A$2:$CB$605,MATCH('Prior YTD Data Table'!$C59,'Prior YTD Data Pull'!$A$2:$A$605,0),MATCH("Current Liabilities due to Affiliates",'Prior YTD Data Pull'!$A$1:$CB$1,0)),"")</f>
        <v>0</v>
      </c>
      <c r="AN59" s="38">
        <f>IFERROR(INDEX('Prior YTD Data Pull'!$A$2:$CB$605,MATCH('Prior YTD Data Table'!$C59,'Prior YTD Data Pull'!$A$2:$A$605,0),MATCH("Short Term Investments",'Prior YTD Data Pull'!$A$1:$CB$1,0)),"")</f>
        <v>0</v>
      </c>
      <c r="AO59" s="38">
        <f>IFERROR(INDEX('Prior YTD Data Pull'!$A$2:$CB$605,MATCH('Prior YTD Data Table'!$C59,'Prior YTD Data Pull'!$A$2:$A$605,0),MATCH("Cash and Cash Equivalents",'Prior YTD Data Pull'!$A$1:$CB$1,0)),"")</f>
        <v>10467195</v>
      </c>
      <c r="AP59" s="38">
        <f>IFERROR(INDEX('Prior YTD Data Pull'!$A$2:$CB$605,MATCH('Prior YTD Data Table'!$C59,'Prior YTD Data Pull'!$A$2:$A$605,0),MATCH("Interest Expense",'Prior YTD Data Pull'!$A$1:$CB$1,0)),"")</f>
        <v>543932</v>
      </c>
      <c r="AQ59" s="38">
        <f>IFERROR(INDEX('Prior YTD Data Pull'!$A$2:$CB$605,MATCH('Prior YTD Data Table'!$C59,'Prior YTD Data Pull'!$A$2:$A$605,0),MATCH("Long Term Debt Net of Current Portion",'Prior YTD Data Pull'!$A$1:$CB$1,0)),"")</f>
        <v>68261462</v>
      </c>
      <c r="AR59" s="38">
        <f>IFERROR(INDEX('Prior YTD Data Pull'!$A$2:$CB$605,MATCH('Prior YTD Data Table'!$C59,'Prior YTD Data Pull'!$A$2:$A$605,0),MATCH("Total Assets",'Prior YTD Data Pull'!$A$1:$CB$1,0)),"")</f>
        <v>165534062</v>
      </c>
      <c r="AS59" s="38">
        <f>IFERROR(INDEX('Prior YTD Data Pull'!$A$2:$CB$605,MATCH('Prior YTD Data Table'!$C59,'Prior YTD Data Pull'!$A$2:$A$605,0),MATCH("Long Term Debt Net of Current Portion",'Prior YTD Data Pull'!$A$1:$CB$1,0)),"")</f>
        <v>68261462</v>
      </c>
      <c r="AT59" s="38">
        <f>IFERROR(INDEX('Prior YTD Data Pull'!$A$2:$CB$605,MATCH('Prior YTD Data Table'!$C59,'Prior YTD Data Pull'!$A$2:$A$605,0),MATCH("Net Unrestricted Assets",'Prior YTD Data Pull'!$A$1:$CB$1,0)),"")</f>
        <v>-9295265</v>
      </c>
      <c r="AU59" s="38">
        <f>IFERROR(INDEX('Prior YTD Data Pull'!$A$2:$CB$605,MATCH('Prior YTD Data Table'!$C59,'Prior YTD Data Pull'!$A$2:$A$605,0),MATCH("Unrealized Gains/Losses",'Prior YTD Data Pull'!$A$1:$CB$1,0)),"")</f>
        <v>0</v>
      </c>
      <c r="AV59" s="38">
        <f>IFERROR(INDEX('Prior YTD Data Pull'!$A$2:$CB$605,MATCH('Prior YTD Data Table'!$C59,'Prior YTD Data Pull'!$A$2:$A$605,0),MATCH("Salary and Benefit Expense",'Prior YTD Data Pull'!$A$1:$CB$1,0)),"")</f>
        <v>60108933</v>
      </c>
      <c r="AW59" s="47"/>
      <c r="AX59" s="47"/>
      <c r="AY59" s="47"/>
      <c r="AZ59" s="47"/>
    </row>
    <row r="60" spans="1:52" ht="34.200000000000003" x14ac:dyDescent="0.3">
      <c r="A60" s="14" t="str">
        <f>IFERROR(INDEX('Static Data Tab'!$N$2:$N$610,MATCH(D60,'Static Data Tab'!$D$2:$D$610,0)), "")</f>
        <v>Tenet Healthcare</v>
      </c>
      <c r="B60" s="57" t="s">
        <v>615</v>
      </c>
      <c r="C60" s="57">
        <v>3888</v>
      </c>
      <c r="D60" s="57">
        <v>3888</v>
      </c>
      <c r="E60" s="14" t="str">
        <f>IFERROR(INDEX('Prior YTD Data Pull'!$A$1:$CB$605,MATCH('Prior YTD Data Table'!$C60,'Prior YTD Data Pull'!$A$1:$A$605,0),MATCH("Organization Type",'Prior YTD Data Pull'!$A$1:$CB$1,0)),"")</f>
        <v>HHS</v>
      </c>
      <c r="F60" s="14" t="str">
        <f>IFERROR(INDEX('Static Data Tab'!$E$2:$E$610,MATCH('Prior YTD Data Table'!$C60,'Static Data Tab'!$B$2:$B$610,0)), "-")</f>
        <v>-</v>
      </c>
      <c r="G60" s="46" t="str">
        <f>IFERROR(INDEX('Static Data Tab'!$J$2:$J$610,MATCH('Prior YTD Data Table'!$C60,'Static Data Tab'!$B$2:$B$610,0)), "")</f>
        <v/>
      </c>
      <c r="H60" s="14" t="str">
        <f>IFERROR(INDEX('Static Data Tab'!$F$2:$F$610,MATCH('Prior YTD Data Table'!$C60,'Static Data Tab'!$B$2:$B$610,0)), "")</f>
        <v/>
      </c>
      <c r="I60" s="14" t="str">
        <f>IFERROR(INDEX('Static Data Tab'!$G$2:$G$610,MATCH('Prior YTD Data Table'!$C60,'Static Data Tab'!$B$2:$B$610,0)), "")</f>
        <v/>
      </c>
      <c r="J60" s="14" t="str">
        <f>IFERROR(INDEX('Prior YTD Data Pull'!$A$2:$CB$605,MATCH('Prior YTD Data Table'!$C60,'Prior YTD Data Pull'!$A$2:$A$605,0),MATCH("Quarter Range",'Prior YTD Data Pull'!$A$1:$CB$1,0)),"")</f>
        <v xml:space="preserve">01/01/2025-03/31/2025
</v>
      </c>
      <c r="K60" s="37">
        <f t="shared" si="2"/>
        <v>0.1171153468264885</v>
      </c>
      <c r="L60" s="37">
        <f t="shared" si="3"/>
        <v>-3.7335429357437611E-2</v>
      </c>
      <c r="M60" s="37">
        <f t="shared" si="4"/>
        <v>7.9779917469050887E-2</v>
      </c>
      <c r="N60" s="38">
        <f t="shared" si="5"/>
        <v>406000000</v>
      </c>
      <c r="O60" s="39">
        <f t="shared" si="6"/>
        <v>1.7778027409570882</v>
      </c>
      <c r="P60" s="38">
        <f>IFERROR(INDEX('Prior YTD Data Pull'!$A$2:$CB$605,MATCH('Prior YTD Data Table'!$C60,'Prior YTD Data Pull'!$A$2:$A$605,0),MATCH("Total Net Assets or Equity",'Prior YTD Data Pull'!$A$1:$CB$1,0)),"")</f>
        <v>8653000000</v>
      </c>
      <c r="Q60" s="38">
        <f>IFERROR(INDEX('Prior YTD Data Pull'!$A$2:$CB$605,MATCH('Prior YTD Data Table'!$C60,'Prior YTD Data Pull'!$A$2:$A$605,0),MATCH("Total Operating Revenue",'Prior YTD Data Pull'!$A$1:$CB$1,0)),"")</f>
        <v>5279000000</v>
      </c>
      <c r="R60" s="38">
        <f>IFERROR(INDEX('Prior YTD Data Pull'!$A$2:$CB$605,MATCH('Prior YTD Data Table'!$C60,'Prior YTD Data Pull'!$A$2:$A$605,0),MATCH("Total Unrestricted Revenue Gains and Other Support",'Prior YTD Data Pull'!$A$1:$CB$1,0)),"")</f>
        <v>5089000000</v>
      </c>
      <c r="S60" s="38" t="str">
        <f>IFERROR(INDEX('Prior YTD TS Data Pull'!$J$2:$J$128,MATCH('Prior YTD Data Table'!$C60, 'Prior YTD TS Data Pull'!$A$2:$A$128,0))+INDEX('Prior YTD TS Data Pull'!$N$2:$N$128,MATCH('Prior YTD Data Table'!$C60,'Prior YTD TS Data Pull'!$A$2:$A$609,0))+INDEX('Prior YTD TS Data Pull'!$R$2:$R$128,MATCH('Prior YTD Data Table'!$C60,'Prior YTD TS Data Pull'!$A$2:$A$609,0)),"")</f>
        <v/>
      </c>
      <c r="T60" s="38" t="e">
        <f>IF(INDEX('Prior YTD TS Data Pull'!$A$1:$O$609,MATCH('Prior YTD Data Table'!$C60,'Prior YTD TS Data Pull'!$A$1:$A$609,0),MATCH("Temporary RN Staffing:
Line Reported on in Standardized Financials",'Prior YTD TS Data Pull'!$A$1:$O$1,0))="66.1: Salary and Benefit Expense",'Prior YTD Data Table'!$AV60-'Prior YTD Data Table'!$S60,0)</f>
        <v>#N/A</v>
      </c>
      <c r="U60" s="38">
        <f>IFERROR(INDEX('Prior YTD Data Pull'!$A$2:$CB$605,MATCH('Prior YTD Data Table'!$C60,'Prior YTD Data Pull'!$A$2:$A$605,0),MATCH("Total Expenses Including Nonrecurring Gains Losses",'Prior YTD Data Pull'!$A$1:$CB$1,0)),"")</f>
        <v>4683000000</v>
      </c>
      <c r="V60" s="41" t="str">
        <f t="shared" si="7"/>
        <v/>
      </c>
      <c r="W60" s="41">
        <f t="shared" si="8"/>
        <v>91.762780011487649</v>
      </c>
      <c r="X60" s="41">
        <f t="shared" si="0"/>
        <v>181.9372347554166</v>
      </c>
      <c r="Y60" s="37">
        <f t="shared" si="9"/>
        <v>6.3293074453447479E-2</v>
      </c>
      <c r="Z60" s="41">
        <f t="shared" si="1"/>
        <v>122.58588340406523</v>
      </c>
      <c r="AA60" s="39">
        <f t="shared" si="10"/>
        <v>7.7675748908625622E-2</v>
      </c>
      <c r="AB60" s="37">
        <f t="shared" si="11"/>
        <v>0.29596059787255874</v>
      </c>
      <c r="AC60" s="37">
        <f t="shared" si="12"/>
        <v>0.60188635840809757</v>
      </c>
      <c r="AD60" s="38">
        <f>IFERROR(INDEX('Prior YTD Data Pull'!$A$2:$CB$605,MATCH('Prior YTD Data Table'!$C60,'Prior YTD Data Pull'!$A$2:$A$605,0),MATCH("Net Patient Service Revenue",'Prior YTD Data Pull'!$A$1:$CB$1,0)),"")</f>
        <v>5223000000</v>
      </c>
      <c r="AE60" s="38">
        <f>IFERROR(INDEX('Prior YTD Data Pull'!$A$2:$CB$605,MATCH('Prior YTD Data Table'!$C60,'Prior YTD Data Pull'!$A$2:$A$605,0),MATCH("Total Current Assets",'Prior YTD Data Pull'!$A$1:$CB$1,0)),"")</f>
        <v>7913000000</v>
      </c>
      <c r="AF60" s="38">
        <f>IFERROR(INDEX('Prior YTD Data Pull'!$A$2:$CB$605,MATCH('Prior YTD Data Table'!$C60,'Prior YTD Data Pull'!$A$2:$A$605,0),MATCH("Total Current Liabilities",'Prior YTD Data Pull'!$A$1:$CB$1,0)),"")</f>
        <v>4451000000</v>
      </c>
      <c r="AG60" s="38">
        <f>IFERROR(INDEX('Prior YTD Data Pull'!$A$2:$CB$605,MATCH('Prior YTD Data Table'!$C60,'Prior YTD Data Pull'!$A$2:$A$605,0),MATCH("Total Non Operating Revenue",'Prior YTD Data Pull'!$A$1:$CB$1,0)),"")</f>
        <v>-190000000</v>
      </c>
      <c r="AH60" s="38" t="str">
        <f>IFERROR(INDEX('Prior YTD Data Pull'!$A$2:$CB$605,MATCH('Prior YTD Data Table'!$C60,'Prior Year Data Pull'!$A$2:$A$593,0),MATCH("Less Accumulated Depreciation",'Prior YTD Data Pull'!$A$1:$CB$1,0)),"")</f>
        <v/>
      </c>
      <c r="AI60" s="38">
        <f>IFERROR(INDEX('Prior YTD Data Pull'!$A$2:$CB$605,MATCH('Prior YTD Data Table'!$C60,'Prior YTD Data Pull'!$A$2:$A$605,0),MATCH("Depreciation and Amortization Expense",'Prior YTD Data Pull'!$A$1:$CB$1,0)),"")</f>
        <v>206000000</v>
      </c>
      <c r="AJ60" s="38">
        <f>IFERROR(INDEX('Prior YTD Data Pull'!$A$2:$CB$605,MATCH('Prior YTD Data Table'!$C60,'Prior YTD Data Pull'!$A$2:$A$605,0),MATCH("Net Patient Accounts Receivable",'Prior YTD Data Pull'!$A$1:$CB$1,0)),"")</f>
        <v>2619000000</v>
      </c>
      <c r="AK60" s="14" t="str">
        <f>IF('Prior YTD Data Pull'!$H60 = 6, "183", IF('Prior YTD Data Pull'!$H60 = 3, "93",""))</f>
        <v>183</v>
      </c>
      <c r="AL60" s="38">
        <f>IFERROR(INDEX('Prior YTD Data Pull'!$A$2:$CB$605,MATCH('Prior YTD Data Table'!$C60,'Prior YTD Data Pull'!$A$2:$A$605,0),MATCH("Estimated Third Party Settlements",'Prior YTD Data Pull'!$A$1:$CB$1,0)),"")</f>
        <v>0</v>
      </c>
      <c r="AM60" s="38">
        <f>IFERROR(INDEX('Prior YTD Data Pull'!$A$2:$CB$605,MATCH('Prior YTD Data Table'!$C60,'Prior YTD Data Pull'!$A$2:$A$605,0),MATCH("Current Liabilities due to Affiliates",'Prior YTD Data Pull'!$A$1:$CB$1,0)),"")</f>
        <v>0</v>
      </c>
      <c r="AN60" s="38">
        <f>IFERROR(INDEX('Prior YTD Data Pull'!$A$2:$CB$605,MATCH('Prior YTD Data Table'!$C60,'Prior YTD Data Pull'!$A$2:$A$605,0),MATCH("Short Term Investments",'Prior YTD Data Pull'!$A$1:$CB$1,0)),"")</f>
        <v>0</v>
      </c>
      <c r="AO60" s="38">
        <f>IFERROR(INDEX('Prior YTD Data Pull'!$A$2:$CB$605,MATCH('Prior YTD Data Table'!$C60,'Prior YTD Data Pull'!$A$2:$A$605,0),MATCH("Cash and Cash Equivalents",'Prior YTD Data Pull'!$A$1:$CB$1,0)),"")</f>
        <v>2999000000</v>
      </c>
      <c r="AP60" s="38">
        <f>IFERROR(INDEX('Prior YTD Data Pull'!$A$2:$CB$605,MATCH('Prior YTD Data Table'!$C60,'Prior YTD Data Pull'!$A$2:$A$605,0),MATCH("Interest Expense",'Prior YTD Data Pull'!$A$1:$CB$1,0)),"")</f>
        <v>204000000</v>
      </c>
      <c r="AQ60" s="38">
        <f>IFERROR(INDEX('Prior YTD Data Pull'!$A$2:$CB$605,MATCH('Prior YTD Data Table'!$C60,'Prior YTD Data Pull'!$A$2:$A$605,0),MATCH("Long Term Debt Net of Current Portion",'Prior YTD Data Pull'!$A$1:$CB$1,0)),"")</f>
        <v>13082000000</v>
      </c>
      <c r="AR60" s="38">
        <f>IFERROR(INDEX('Prior YTD Data Pull'!$A$2:$CB$605,MATCH('Prior YTD Data Table'!$C60,'Prior YTD Data Pull'!$A$2:$A$605,0),MATCH("Total Assets",'Prior YTD Data Pull'!$A$1:$CB$1,0)),"")</f>
        <v>29237000000</v>
      </c>
      <c r="AS60" s="38">
        <f>IFERROR(INDEX('Prior YTD Data Pull'!$A$2:$CB$605,MATCH('Prior YTD Data Table'!$C60,'Prior YTD Data Pull'!$A$2:$A$605,0),MATCH("Long Term Debt Net of Current Portion",'Prior YTD Data Pull'!$A$1:$CB$1,0)),"")</f>
        <v>13082000000</v>
      </c>
      <c r="AT60" s="38">
        <f>IFERROR(INDEX('Prior YTD Data Pull'!$A$2:$CB$605,MATCH('Prior YTD Data Table'!$C60,'Prior YTD Data Pull'!$A$2:$A$605,0),MATCH("Net Unrestricted Assets",'Prior YTD Data Pull'!$A$1:$CB$1,0)),"")</f>
        <v>8653000000</v>
      </c>
      <c r="AU60" s="38">
        <f>IFERROR(INDEX('Prior YTD Data Pull'!$A$2:$CB$605,MATCH('Prior YTD Data Table'!$C60,'Prior YTD Data Pull'!$A$2:$A$605,0),MATCH("Unrealized Gains/Losses",'Prior YTD Data Pull'!$A$1:$CB$1,0)),"")</f>
        <v>-216000000</v>
      </c>
      <c r="AV60" s="38">
        <f>IFERROR(INDEX('Prior YTD Data Pull'!$A$2:$CB$605,MATCH('Prior YTD Data Table'!$C60,'Prior YTD Data Pull'!$A$2:$A$605,0),MATCH("Salary and Benefit Expense",'Prior YTD Data Pull'!$A$1:$CB$1,0)),"")</f>
        <v>2119000000</v>
      </c>
      <c r="AW60" s="38"/>
      <c r="AX60" s="38"/>
      <c r="AY60" s="38"/>
      <c r="AZ60" s="38"/>
    </row>
    <row r="61" spans="1:52" ht="34.200000000000003" x14ac:dyDescent="0.3">
      <c r="A61" s="14" t="str">
        <f>IFERROR(INDEX('Static Data Tab'!$N$2:$N$610,MATCH(D61,'Static Data Tab'!$D$2:$D$610,0)), "")</f>
        <v>Lawrence General Hospital and Affiliates</v>
      </c>
      <c r="B61" s="14" t="s">
        <v>138</v>
      </c>
      <c r="C61" s="14">
        <v>13156</v>
      </c>
      <c r="D61" s="14">
        <v>13156</v>
      </c>
      <c r="E61" s="14" t="str">
        <f>IFERROR(INDEX('Prior YTD Data Pull'!$A$1:$CB$605,MATCH('Prior YTD Data Table'!$C61,'Prior YTD Data Pull'!$A$1:$A$605,0),MATCH("Organization Type",'Prior YTD Data Pull'!$A$1:$CB$1,0)),"")</f>
        <v>HHS</v>
      </c>
      <c r="F61" s="14" t="str">
        <f>IFERROR(INDEX('Static Data Tab'!$E$2:$E$610,MATCH('Prior YTD Data Table'!$C61,'Static Data Tab'!$B$2:$B$610,0)), "-")</f>
        <v>-</v>
      </c>
      <c r="G61" s="46" t="str">
        <f>IFERROR(INDEX('Static Data Tab'!$J$2:$J$610,MATCH('Prior YTD Data Table'!$C61,'Static Data Tab'!$B$2:$B$610,0)), "")</f>
        <v/>
      </c>
      <c r="H61" s="14" t="str">
        <f>IFERROR(INDEX('Static Data Tab'!$F$2:$F$610,MATCH('Prior YTD Data Table'!$C61,'Static Data Tab'!$B$2:$B$610,0)), "")</f>
        <v/>
      </c>
      <c r="I61" s="14" t="str">
        <f>IFERROR(INDEX('Static Data Tab'!$G$2:$G$610,MATCH('Prior YTD Data Table'!$C61,'Static Data Tab'!$B$2:$B$610,0)), "")</f>
        <v/>
      </c>
      <c r="J61" s="14" t="str">
        <f>IFERROR(INDEX('Prior YTD Data Pull'!$A$2:$CB$605,MATCH('Prior YTD Data Table'!$C61,'Prior YTD Data Pull'!$A$2:$A$605,0),MATCH("Quarter Range",'Prior YTD Data Pull'!$A$1:$CB$1,0)),"")</f>
        <v xml:space="preserve">10/01/2024-03/31/2025
</v>
      </c>
      <c r="K61" s="37">
        <f t="shared" si="2"/>
        <v>-0.10338658977490003</v>
      </c>
      <c r="L61" s="37">
        <f t="shared" si="3"/>
        <v>5.5855985278373509E-3</v>
      </c>
      <c r="M61" s="37">
        <f t="shared" si="4"/>
        <v>-9.7800991247062694E-2</v>
      </c>
      <c r="N61" s="38">
        <f t="shared" si="5"/>
        <v>-28593000</v>
      </c>
      <c r="O61" s="39" t="str">
        <f t="shared" si="6"/>
        <v/>
      </c>
      <c r="P61" s="38">
        <f>IFERROR(INDEX('Prior YTD Data Pull'!$A$2:$CB$605,MATCH('Prior YTD Data Table'!$C61,'Prior YTD Data Pull'!$A$2:$A$605,0),MATCH("Total Net Assets or Equity",'Prior YTD Data Pull'!$A$1:$CB$1,0)),"")</f>
        <v>0</v>
      </c>
      <c r="Q61" s="38">
        <f>IFERROR(INDEX('Prior YTD Data Pull'!$A$2:$CB$605,MATCH('Prior YTD Data Table'!$C61,'Prior YTD Data Pull'!$A$2:$A$605,0),MATCH("Total Operating Revenue",'Prior YTD Data Pull'!$A$1:$CB$1,0)),"")</f>
        <v>290726000</v>
      </c>
      <c r="R61" s="38">
        <f>IFERROR(INDEX('Prior YTD Data Pull'!$A$2:$CB$605,MATCH('Prior YTD Data Table'!$C61,'Prior YTD Data Pull'!$A$2:$A$605,0),MATCH("Total Unrestricted Revenue Gains and Other Support",'Prior YTD Data Pull'!$A$1:$CB$1,0)),"")</f>
        <v>292359000</v>
      </c>
      <c r="S61" s="38" t="str">
        <f>IFERROR(INDEX('Prior YTD TS Data Pull'!$J$2:$J$128,MATCH('Prior YTD Data Table'!$C61, 'Prior YTD TS Data Pull'!$A$2:$A$128,0))+INDEX('Prior YTD TS Data Pull'!$N$2:$N$128,MATCH('Prior YTD Data Table'!$C61,'Prior YTD TS Data Pull'!$A$2:$A$609,0))+INDEX('Prior YTD TS Data Pull'!$R$2:$R$128,MATCH('Prior YTD Data Table'!$C61,'Prior YTD TS Data Pull'!$A$2:$A$609,0)),"")</f>
        <v/>
      </c>
      <c r="T61" s="38" t="e">
        <f>IF(INDEX('Prior YTD TS Data Pull'!$A$1:$O$609,MATCH('Prior YTD Data Table'!$C61,'Prior YTD TS Data Pull'!$A$1:$A$609,0),MATCH("Temporary RN Staffing:
Line Reported on in Standardized Financials",'Prior YTD TS Data Pull'!$A$1:$O$1,0))="66.1: Salary and Benefit Expense",'Prior YTD Data Table'!$AV61-'Prior YTD Data Table'!$S61,0)</f>
        <v>#N/A</v>
      </c>
      <c r="U61" s="38">
        <f>IFERROR(INDEX('Prior YTD Data Pull'!$A$2:$CB$605,MATCH('Prior YTD Data Table'!$C61,'Prior YTD Data Pull'!$A$2:$A$605,0),MATCH("Total Expenses Including Nonrecurring Gains Losses",'Prior YTD Data Pull'!$A$1:$CB$1,0)),"")</f>
        <v>320952000</v>
      </c>
      <c r="V61" s="41">
        <f t="shared" si="7"/>
        <v>0.31389217525659419</v>
      </c>
      <c r="W61" s="41">
        <f t="shared" si="8"/>
        <v>0</v>
      </c>
      <c r="X61" s="41">
        <f t="shared" si="0"/>
        <v>0</v>
      </c>
      <c r="Y61" s="37" t="str">
        <f t="shared" si="9"/>
        <v/>
      </c>
      <c r="Z61" s="41">
        <f t="shared" si="1"/>
        <v>0</v>
      </c>
      <c r="AA61" s="39">
        <f t="shared" si="10"/>
        <v>-6.4362336114421934</v>
      </c>
      <c r="AB61" s="37" t="str">
        <f t="shared" si="11"/>
        <v/>
      </c>
      <c r="AC61" s="37" t="str">
        <f t="shared" si="12"/>
        <v/>
      </c>
      <c r="AD61" s="38">
        <f>IFERROR(INDEX('Prior YTD Data Pull'!$A$2:$CB$605,MATCH('Prior YTD Data Table'!$C61,'Prior YTD Data Pull'!$A$2:$A$605,0),MATCH("Net Patient Service Revenue",'Prior YTD Data Pull'!$A$1:$CB$1,0)),"")</f>
        <v>263441000</v>
      </c>
      <c r="AE61" s="38">
        <f>IFERROR(INDEX('Prior YTD Data Pull'!$A$2:$CB$605,MATCH('Prior YTD Data Table'!$C61,'Prior YTD Data Pull'!$A$2:$A$605,0),MATCH("Total Current Assets",'Prior YTD Data Pull'!$A$1:$CB$1,0)),"")</f>
        <v>0</v>
      </c>
      <c r="AF61" s="38">
        <f>IFERROR(INDEX('Prior YTD Data Pull'!$A$2:$CB$605,MATCH('Prior YTD Data Table'!$C61,'Prior YTD Data Pull'!$A$2:$A$605,0),MATCH("Total Current Liabilities",'Prior YTD Data Pull'!$A$1:$CB$1,0)),"")</f>
        <v>0</v>
      </c>
      <c r="AG61" s="38">
        <f>IFERROR(INDEX('Prior YTD Data Pull'!$A$2:$CB$605,MATCH('Prior YTD Data Table'!$C61,'Prior YTD Data Pull'!$A$2:$A$605,0),MATCH("Total Non Operating Revenue",'Prior YTD Data Pull'!$A$1:$CB$1,0)),"")</f>
        <v>1633000</v>
      </c>
      <c r="AH61" s="38">
        <f>IFERROR(INDEX('Prior YTD Data Pull'!$A$2:$CB$605,MATCH('Prior YTD Data Table'!$C61,'Prior Year Data Pull'!$A$2:$A$593,0),MATCH("Less Accumulated Depreciation",'Prior YTD Data Pull'!$A$1:$CB$1,0)),"")</f>
        <v>2844177</v>
      </c>
      <c r="AI61" s="38">
        <f>IFERROR(INDEX('Prior YTD Data Pull'!$A$2:$CB$605,MATCH('Prior YTD Data Table'!$C61,'Prior YTD Data Pull'!$A$2:$A$605,0),MATCH("Depreciation and Amortization Expense",'Prior YTD Data Pull'!$A$1:$CB$1,0)),"")</f>
        <v>9061000</v>
      </c>
      <c r="AJ61" s="38">
        <f>IFERROR(INDEX('Prior YTD Data Pull'!$A$2:$CB$605,MATCH('Prior YTD Data Table'!$C61,'Prior YTD Data Pull'!$A$2:$A$605,0),MATCH("Net Patient Accounts Receivable",'Prior YTD Data Pull'!$A$1:$CB$1,0)),"")</f>
        <v>0</v>
      </c>
      <c r="AK61" s="14" t="str">
        <f>IF('Prior YTD Data Pull'!$H61 = 6, "183", IF('Prior YTD Data Pull'!$H61 = 3, "93",""))</f>
        <v>93</v>
      </c>
      <c r="AL61" s="38">
        <f>IFERROR(INDEX('Prior YTD Data Pull'!$A$2:$CB$605,MATCH('Prior YTD Data Table'!$C61,'Prior YTD Data Pull'!$A$2:$A$605,0),MATCH("Estimated Third Party Settlements",'Prior YTD Data Pull'!$A$1:$CB$1,0)),"")</f>
        <v>0</v>
      </c>
      <c r="AM61" s="38">
        <f>IFERROR(INDEX('Prior YTD Data Pull'!$A$2:$CB$605,MATCH('Prior YTD Data Table'!$C61,'Prior YTD Data Pull'!$A$2:$A$605,0),MATCH("Current Liabilities due to Affiliates",'Prior YTD Data Pull'!$A$1:$CB$1,0)),"")</f>
        <v>0</v>
      </c>
      <c r="AN61" s="38">
        <f>IFERROR(INDEX('Prior YTD Data Pull'!$A$2:$CB$605,MATCH('Prior YTD Data Table'!$C61,'Prior YTD Data Pull'!$A$2:$A$605,0),MATCH("Short Term Investments",'Prior YTD Data Pull'!$A$1:$CB$1,0)),"")</f>
        <v>0</v>
      </c>
      <c r="AO61" s="38">
        <f>IFERROR(INDEX('Prior YTD Data Pull'!$A$2:$CB$605,MATCH('Prior YTD Data Table'!$C61,'Prior YTD Data Pull'!$A$2:$A$605,0),MATCH("Cash and Cash Equivalents",'Prior YTD Data Pull'!$A$1:$CB$1,0)),"")</f>
        <v>0</v>
      </c>
      <c r="AP61" s="38">
        <f>IFERROR(INDEX('Prior YTD Data Pull'!$A$2:$CB$605,MATCH('Prior YTD Data Table'!$C61,'Prior YTD Data Pull'!$A$2:$A$605,0),MATCH("Interest Expense",'Prior YTD Data Pull'!$A$1:$CB$1,0)),"")</f>
        <v>2517000</v>
      </c>
      <c r="AQ61" s="38">
        <f>IFERROR(INDEX('Prior YTD Data Pull'!$A$2:$CB$605,MATCH('Prior YTD Data Table'!$C61,'Prior YTD Data Pull'!$A$2:$A$605,0),MATCH("Long Term Debt Net of Current Portion",'Prior YTD Data Pull'!$A$1:$CB$1,0)),"")</f>
        <v>0</v>
      </c>
      <c r="AR61" s="38">
        <f>IFERROR(INDEX('Prior YTD Data Pull'!$A$2:$CB$605,MATCH('Prior YTD Data Table'!$C61,'Prior YTD Data Pull'!$A$2:$A$605,0),MATCH("Total Assets",'Prior YTD Data Pull'!$A$1:$CB$1,0)),"")</f>
        <v>0</v>
      </c>
      <c r="AS61" s="38">
        <f>IFERROR(INDEX('Prior YTD Data Pull'!$A$2:$CB$605,MATCH('Prior YTD Data Table'!$C61,'Prior YTD Data Pull'!$A$2:$A$605,0),MATCH("Long Term Debt Net of Current Portion",'Prior YTD Data Pull'!$A$1:$CB$1,0)),"")</f>
        <v>0</v>
      </c>
      <c r="AT61" s="38">
        <f>IFERROR(INDEX('Prior YTD Data Pull'!$A$2:$CB$605,MATCH('Prior YTD Data Table'!$C61,'Prior YTD Data Pull'!$A$2:$A$605,0),MATCH("Net Unrestricted Assets",'Prior YTD Data Pull'!$A$1:$CB$1,0)),"")</f>
        <v>0</v>
      </c>
      <c r="AU61" s="38">
        <f>IFERROR(INDEX('Prior YTD Data Pull'!$A$2:$CB$605,MATCH('Prior YTD Data Table'!$C61,'Prior YTD Data Pull'!$A$2:$A$605,0),MATCH("Unrealized Gains/Losses",'Prior YTD Data Pull'!$A$1:$CB$1,0)),"")</f>
        <v>-815000</v>
      </c>
      <c r="AV61" s="38">
        <f>IFERROR(INDEX('Prior YTD Data Pull'!$A$2:$CB$605,MATCH('Prior YTD Data Table'!$C61,'Prior YTD Data Pull'!$A$2:$A$605,0),MATCH("Salary and Benefit Expense",'Prior YTD Data Pull'!$A$1:$CB$1,0)),"")</f>
        <v>147758000</v>
      </c>
      <c r="AW61" s="47"/>
      <c r="AX61" s="47"/>
      <c r="AY61" s="47"/>
      <c r="AZ61" s="47"/>
    </row>
    <row r="62" spans="1:52" ht="34.200000000000003" x14ac:dyDescent="0.3">
      <c r="A62" s="14" t="str">
        <f>IFERROR(INDEX('Static Data Tab'!$N$2:$N$610,MATCH(D62,'Static Data Tab'!$D$2:$D$610,0)), "")</f>
        <v>Tufts Medicine</v>
      </c>
      <c r="B62" s="57" t="s">
        <v>190</v>
      </c>
      <c r="C62" s="57">
        <v>12775</v>
      </c>
      <c r="D62" s="57">
        <v>12775</v>
      </c>
      <c r="E62" s="14" t="str">
        <f>IFERROR(INDEX('Prior YTD Data Pull'!$A$1:$CB$605,MATCH('Prior YTD Data Table'!$C62,'Prior YTD Data Pull'!$A$1:$A$605,0),MATCH("Organization Type",'Prior YTD Data Pull'!$A$1:$CB$1,0)),"")</f>
        <v>HHS</v>
      </c>
      <c r="F62" s="14" t="str">
        <f>IFERROR(INDEX('Static Data Tab'!$E$2:$E$610,MATCH('Prior YTD Data Table'!$C62,'Static Data Tab'!$B$2:$B$610,0)), "-")</f>
        <v>-</v>
      </c>
      <c r="G62" s="46" t="str">
        <f>IFERROR(INDEX('Static Data Tab'!$J$2:$J$610,MATCH('Prior YTD Data Table'!$C62,'Static Data Tab'!$B$2:$B$610,0)), "")</f>
        <v/>
      </c>
      <c r="H62" s="14" t="str">
        <f>IFERROR(INDEX('Static Data Tab'!$F$2:$F$610,MATCH('Prior YTD Data Table'!$C62,'Static Data Tab'!$B$2:$B$610,0)), "")</f>
        <v/>
      </c>
      <c r="I62" s="14" t="str">
        <f>IFERROR(INDEX('Static Data Tab'!$G$2:$G$610,MATCH('Prior YTD Data Table'!$C62,'Static Data Tab'!$B$2:$B$610,0)), "")</f>
        <v/>
      </c>
      <c r="J62" s="14" t="str">
        <f>IFERROR(INDEX('Prior YTD Data Pull'!$A$2:$CB$605,MATCH('Prior YTD Data Table'!$C62,'Prior YTD Data Pull'!$A$2:$A$605,0),MATCH("Quarter Range",'Prior YTD Data Pull'!$A$1:$CB$1,0)),"")</f>
        <v xml:space="preserve">10/01/2024-03/31/2025
</v>
      </c>
      <c r="K62" s="37">
        <f t="shared" si="2"/>
        <v>-2.9985915253949669E-2</v>
      </c>
      <c r="L62" s="37">
        <f t="shared" si="3"/>
        <v>2.0858999813334689E-3</v>
      </c>
      <c r="M62" s="37">
        <f t="shared" si="4"/>
        <v>-2.7900015272616201E-2</v>
      </c>
      <c r="N62" s="38">
        <f t="shared" si="5"/>
        <v>-41103000</v>
      </c>
      <c r="O62" s="39">
        <f t="shared" si="6"/>
        <v>1.0425751785708874</v>
      </c>
      <c r="P62" s="38">
        <f>IFERROR(INDEX('Prior YTD Data Pull'!$A$2:$CB$605,MATCH('Prior YTD Data Table'!$C62,'Prior YTD Data Pull'!$A$2:$A$605,0),MATCH("Total Net Assets or Equity",'Prior YTD Data Pull'!$A$1:$CB$1,0)),"")</f>
        <v>198794000</v>
      </c>
      <c r="Q62" s="38">
        <f>IFERROR(INDEX('Prior YTD Data Pull'!$A$2:$CB$605,MATCH('Prior YTD Data Table'!$C62,'Prior YTD Data Pull'!$A$2:$A$605,0),MATCH("Total Operating Revenue",'Prior YTD Data Pull'!$A$1:$CB$1,0)),"")</f>
        <v>1470152000</v>
      </c>
      <c r="R62" s="38">
        <f>IFERROR(INDEX('Prior YTD Data Pull'!$A$2:$CB$605,MATCH('Prior YTD Data Table'!$C62,'Prior YTD Data Pull'!$A$2:$A$605,0),MATCH("Total Unrestricted Revenue Gains and Other Support",'Prior YTD Data Pull'!$A$1:$CB$1,0)),"")</f>
        <v>1473225000</v>
      </c>
      <c r="S62" s="38">
        <f>IFERROR(INDEX('Prior YTD TS Data Pull'!$J$2:$J$128,MATCH('Prior YTD Data Table'!$C62, 'Prior YTD TS Data Pull'!$A$2:$A$128,0))+INDEX('Prior YTD TS Data Pull'!$N$2:$N$128,MATCH('Prior YTD Data Table'!$C62,'Prior YTD TS Data Pull'!$A$2:$A$609,0))+INDEX('Prior YTD TS Data Pull'!$R$2:$R$128,MATCH('Prior YTD Data Table'!$C62,'Prior YTD TS Data Pull'!$A$2:$A$609,0)),"")</f>
        <v>11604849.289999999</v>
      </c>
      <c r="T62" s="38">
        <f>IF(INDEX('Prior YTD TS Data Pull'!$A$1:$O$609,MATCH('Prior YTD Data Table'!$C62,'Prior YTD TS Data Pull'!$A$1:$A$609,0),MATCH("Temporary RN Staffing:
Line Reported on in Standardized Financials",'Prior YTD TS Data Pull'!$A$1:$O$1,0))="66.1: Salary and Benefit Expense",'Prior YTD Data Table'!$AV62-'Prior YTD Data Table'!$S62,0)</f>
        <v>0</v>
      </c>
      <c r="U62" s="38">
        <f>IFERROR(INDEX('Prior YTD Data Pull'!$A$2:$CB$605,MATCH('Prior YTD Data Table'!$C62,'Prior YTD Data Pull'!$A$2:$A$605,0),MATCH("Total Expenses Including Nonrecurring Gains Losses",'Prior YTD Data Pull'!$A$1:$CB$1,0)),"")</f>
        <v>1514328000</v>
      </c>
      <c r="V62" s="41">
        <f t="shared" si="7"/>
        <v>0.31935802034153099</v>
      </c>
      <c r="W62" s="41">
        <f t="shared" si="8"/>
        <v>49.249384477844977</v>
      </c>
      <c r="X62" s="41">
        <f t="shared" si="0"/>
        <v>81.617784889468695</v>
      </c>
      <c r="Y62" s="37">
        <f t="shared" si="9"/>
        <v>2.1061476475318034E-3</v>
      </c>
      <c r="Z62" s="41">
        <f t="shared" si="1"/>
        <v>18.854002874119672</v>
      </c>
      <c r="AA62" s="39">
        <f t="shared" si="10"/>
        <v>2.704850441770848E-2</v>
      </c>
      <c r="AB62" s="37">
        <f t="shared" si="11"/>
        <v>9.8053229516096657E-2</v>
      </c>
      <c r="AC62" s="37">
        <f t="shared" si="12"/>
        <v>0.86183727877779459</v>
      </c>
      <c r="AD62" s="38">
        <f>IFERROR(INDEX('Prior YTD Data Pull'!$A$2:$CB$605,MATCH('Prior YTD Data Table'!$C62,'Prior YTD Data Pull'!$A$2:$A$605,0),MATCH("Net Patient Service Revenue",'Prior YTD Data Pull'!$A$1:$CB$1,0)),"")</f>
        <v>1191265000</v>
      </c>
      <c r="AE62" s="38">
        <f>IFERROR(INDEX('Prior YTD Data Pull'!$A$2:$CB$605,MATCH('Prior YTD Data Table'!$C62,'Prior YTD Data Pull'!$A$2:$A$605,0),MATCH("Total Current Assets",'Prior YTD Data Pull'!$A$1:$CB$1,0)),"")</f>
        <v>688060000</v>
      </c>
      <c r="AF62" s="38">
        <f>IFERROR(INDEX('Prior YTD Data Pull'!$A$2:$CB$605,MATCH('Prior YTD Data Table'!$C62,'Prior YTD Data Pull'!$A$2:$A$605,0),MATCH("Total Current Liabilities",'Prior YTD Data Pull'!$A$1:$CB$1,0)),"")</f>
        <v>659962000</v>
      </c>
      <c r="AG62" s="38">
        <f>IFERROR(INDEX('Prior YTD Data Pull'!$A$2:$CB$605,MATCH('Prior YTD Data Table'!$C62,'Prior YTD Data Pull'!$A$2:$A$605,0),MATCH("Total Non Operating Revenue",'Prior YTD Data Pull'!$A$1:$CB$1,0)),"")</f>
        <v>3073000</v>
      </c>
      <c r="AH62" s="38">
        <f>IFERROR(INDEX('Prior YTD Data Pull'!$A$2:$CB$605,MATCH('Prior YTD Data Table'!$C62,'Prior Year Data Pull'!$A$2:$A$593,0),MATCH("Less Accumulated Depreciation",'Prior YTD Data Pull'!$A$1:$CB$1,0)),"")</f>
        <v>13596029</v>
      </c>
      <c r="AI62" s="38">
        <f>IFERROR(INDEX('Prior YTD Data Pull'!$A$2:$CB$605,MATCH('Prior YTD Data Table'!$C62,'Prior YTD Data Pull'!$A$2:$A$605,0),MATCH("Depreciation and Amortization Expense",'Prior YTD Data Pull'!$A$1:$CB$1,0)),"")</f>
        <v>42573000</v>
      </c>
      <c r="AJ62" s="38">
        <f>IFERROR(INDEX('Prior YTD Data Pull'!$A$2:$CB$605,MATCH('Prior YTD Data Table'!$C62,'Prior YTD Data Pull'!$A$2:$A$605,0),MATCH("Net Patient Accounts Receivable",'Prior YTD Data Pull'!$A$1:$CB$1,0)),"")</f>
        <v>320596000</v>
      </c>
      <c r="AK62" s="14" t="str">
        <f>IF('Prior YTD Data Pull'!$H62 = 6, "183", IF('Prior YTD Data Pull'!$H62 = 3, "93",""))</f>
        <v>183</v>
      </c>
      <c r="AL62" s="38">
        <f>IFERROR(INDEX('Prior YTD Data Pull'!$A$2:$CB$605,MATCH('Prior YTD Data Table'!$C62,'Prior YTD Data Pull'!$A$2:$A$605,0),MATCH("Estimated Third Party Settlements",'Prior YTD Data Pull'!$A$1:$CB$1,0)),"")</f>
        <v>3561000</v>
      </c>
      <c r="AM62" s="38">
        <f>IFERROR(INDEX('Prior YTD Data Pull'!$A$2:$CB$605,MATCH('Prior YTD Data Table'!$C62,'Prior YTD Data Pull'!$A$2:$A$605,0),MATCH("Current Liabilities due to Affiliates",'Prior YTD Data Pull'!$A$1:$CB$1,0)),"")</f>
        <v>0</v>
      </c>
      <c r="AN62" s="38">
        <f>IFERROR(INDEX('Prior YTD Data Pull'!$A$2:$CB$605,MATCH('Prior YTD Data Table'!$C62,'Prior YTD Data Pull'!$A$2:$A$605,0),MATCH("Short Term Investments",'Prior YTD Data Pull'!$A$1:$CB$1,0)),"")</f>
        <v>70506000</v>
      </c>
      <c r="AO62" s="38">
        <f>IFERROR(INDEX('Prior YTD Data Pull'!$A$2:$CB$605,MATCH('Prior YTD Data Table'!$C62,'Prior YTD Data Pull'!$A$2:$A$605,0),MATCH("Cash and Cash Equivalents",'Prior YTD Data Pull'!$A$1:$CB$1,0)),"")</f>
        <v>81125000</v>
      </c>
      <c r="AP62" s="38">
        <f>IFERROR(INDEX('Prior YTD Data Pull'!$A$2:$CB$605,MATCH('Prior YTD Data Table'!$C62,'Prior YTD Data Pull'!$A$2:$A$605,0),MATCH("Interest Expense",'Prior YTD Data Pull'!$A$1:$CB$1,0)),"")</f>
        <v>23370000</v>
      </c>
      <c r="AQ62" s="38">
        <f>IFERROR(INDEX('Prior YTD Data Pull'!$A$2:$CB$605,MATCH('Prior YTD Data Table'!$C62,'Prior YTD Data Pull'!$A$2:$A$605,0),MATCH("Long Term Debt Net of Current Portion",'Prior YTD Data Pull'!$A$1:$CB$1,0)),"")</f>
        <v>911617000</v>
      </c>
      <c r="AR62" s="38">
        <f>IFERROR(INDEX('Prior YTD Data Pull'!$A$2:$CB$605,MATCH('Prior YTD Data Table'!$C62,'Prior YTD Data Pull'!$A$2:$A$605,0),MATCH("Total Assets",'Prior YTD Data Pull'!$A$1:$CB$1,0)),"")</f>
        <v>2027409000</v>
      </c>
      <c r="AS62" s="38">
        <f>IFERROR(INDEX('Prior YTD Data Pull'!$A$2:$CB$605,MATCH('Prior YTD Data Table'!$C62,'Prior YTD Data Pull'!$A$2:$A$605,0),MATCH("Long Term Debt Net of Current Portion",'Prior YTD Data Pull'!$A$1:$CB$1,0)),"")</f>
        <v>911617000</v>
      </c>
      <c r="AT62" s="38">
        <f>IFERROR(INDEX('Prior YTD Data Pull'!$A$2:$CB$605,MATCH('Prior YTD Data Table'!$C62,'Prior YTD Data Pull'!$A$2:$A$605,0),MATCH("Net Unrestricted Assets",'Prior YTD Data Pull'!$A$1:$CB$1,0)),"")</f>
        <v>146143000</v>
      </c>
      <c r="AU62" s="38">
        <f>IFERROR(INDEX('Prior YTD Data Pull'!$A$2:$CB$605,MATCH('Prior YTD Data Table'!$C62,'Prior YTD Data Pull'!$A$2:$A$605,0),MATCH("Unrealized Gains/Losses",'Prior YTD Data Pull'!$A$1:$CB$1,0)),"")</f>
        <v>-450000</v>
      </c>
      <c r="AV62" s="38">
        <f>IFERROR(INDEX('Prior YTD Data Pull'!$A$2:$CB$605,MATCH('Prior YTD Data Table'!$C62,'Prior YTD Data Pull'!$A$2:$A$605,0),MATCH("Salary and Benefit Expense",'Prior YTD Data Pull'!$A$1:$CB$1,0)),"")</f>
        <v>803209000</v>
      </c>
      <c r="AW62" s="38"/>
      <c r="AX62" s="38"/>
      <c r="AY62" s="38"/>
      <c r="AZ62" s="38"/>
    </row>
    <row r="63" spans="1:52" ht="34.200000000000003" x14ac:dyDescent="0.3">
      <c r="A63" s="14" t="str">
        <f>IFERROR(INDEX('Static Data Tab'!$N$2:$N$610,MATCH(D63,'Static Data Tab'!$D$2:$D$610,0)), "")</f>
        <v>Beth Israel Lahey Health</v>
      </c>
      <c r="B63" s="14" t="s">
        <v>90</v>
      </c>
      <c r="C63" s="14">
        <v>16665</v>
      </c>
      <c r="D63" s="14">
        <v>16665</v>
      </c>
      <c r="E63" s="14" t="str">
        <f>IFERROR(INDEX('Prior YTD Data Pull'!$A$1:$CB$605,MATCH('Prior YTD Data Table'!$C63,'Prior YTD Data Pull'!$A$1:$A$605,0),MATCH("Organization Type",'Prior YTD Data Pull'!$A$1:$CB$1,0)),"")</f>
        <v>HHS</v>
      </c>
      <c r="F63" s="14" t="str">
        <f>IFERROR(INDEX('Static Data Tab'!$E$2:$E$610,MATCH('Prior YTD Data Table'!$C63,'Static Data Tab'!$B$2:$B$610,0)), "-")</f>
        <v>-</v>
      </c>
      <c r="G63" s="46" t="str">
        <f>IFERROR(INDEX('Static Data Tab'!$J$2:$J$610,MATCH('Prior YTD Data Table'!$C63,'Static Data Tab'!$B$2:$B$610,0)), "")</f>
        <v/>
      </c>
      <c r="H63" s="14" t="str">
        <f>IFERROR(INDEX('Static Data Tab'!$F$2:$F$610,MATCH('Prior YTD Data Table'!$C63,'Static Data Tab'!$B$2:$B$610,0)), "")</f>
        <v/>
      </c>
      <c r="I63" s="14" t="str">
        <f>IFERROR(INDEX('Static Data Tab'!$G$2:$G$610,MATCH('Prior YTD Data Table'!$C63,'Static Data Tab'!$B$2:$B$610,0)), "")</f>
        <v/>
      </c>
      <c r="J63" s="14" t="str">
        <f>IFERROR(INDEX('Prior YTD Data Pull'!$A$2:$CB$605,MATCH('Prior YTD Data Table'!$C63,'Prior YTD Data Pull'!$A$2:$A$605,0),MATCH("Quarter Range",'Prior YTD Data Pull'!$A$1:$CB$1,0)),"")</f>
        <v xml:space="preserve">10/01/2024-03/31/2025
</v>
      </c>
      <c r="K63" s="37">
        <f t="shared" si="2"/>
        <v>3.2343813864628593E-3</v>
      </c>
      <c r="L63" s="37">
        <f t="shared" si="3"/>
        <v>1.2572003291579044E-2</v>
      </c>
      <c r="M63" s="37">
        <f t="shared" si="4"/>
        <v>1.5806384678041904E-2</v>
      </c>
      <c r="N63" s="38">
        <f t="shared" si="5"/>
        <v>75719000</v>
      </c>
      <c r="O63" s="39">
        <f t="shared" si="6"/>
        <v>2.3845371865783784</v>
      </c>
      <c r="P63" s="38">
        <f>IFERROR(INDEX('Prior YTD Data Pull'!$A$2:$CB$605,MATCH('Prior YTD Data Table'!$C63,'Prior YTD Data Pull'!$A$2:$A$605,0),MATCH("Total Net Assets or Equity",'Prior YTD Data Pull'!$A$1:$CB$1,0)),"")</f>
        <v>4371383000</v>
      </c>
      <c r="Q63" s="38">
        <f>IFERROR(INDEX('Prior YTD Data Pull'!$A$2:$CB$605,MATCH('Prior YTD Data Table'!$C63,'Prior YTD Data Pull'!$A$2:$A$605,0),MATCH("Total Operating Revenue",'Prior YTD Data Pull'!$A$1:$CB$1,0)),"")</f>
        <v>4730181000</v>
      </c>
      <c r="R63" s="38">
        <f>IFERROR(INDEX('Prior YTD Data Pull'!$A$2:$CB$605,MATCH('Prior YTD Data Table'!$C63,'Prior YTD Data Pull'!$A$2:$A$605,0),MATCH("Total Unrestricted Revenue Gains and Other Support",'Prior YTD Data Pull'!$A$1:$CB$1,0)),"")</f>
        <v>4790406000</v>
      </c>
      <c r="S63" s="38">
        <f>IFERROR(INDEX('Prior YTD TS Data Pull'!$J$2:$J$128,MATCH('Prior YTD Data Table'!$C63, 'Prior YTD TS Data Pull'!$A$2:$A$128,0))+INDEX('Prior YTD TS Data Pull'!$N$2:$N$128,MATCH('Prior YTD Data Table'!$C63,'Prior YTD TS Data Pull'!$A$2:$A$609,0))+INDEX('Prior YTD TS Data Pull'!$R$2:$R$128,MATCH('Prior YTD Data Table'!$C63,'Prior YTD TS Data Pull'!$A$2:$A$609,0)),"")</f>
        <v>33088204.879999988</v>
      </c>
      <c r="T63" s="38">
        <f>IF(INDEX('Prior YTD TS Data Pull'!$A$1:$O$609,MATCH('Prior YTD Data Table'!$C63,'Prior YTD TS Data Pull'!$A$1:$A$609,0),MATCH("Temporary RN Staffing:
Line Reported on in Standardized Financials",'Prior YTD TS Data Pull'!$A$1:$O$1,0))="66.1: Salary and Benefit Expense",'Prior YTD Data Table'!$AV63-'Prior YTD Data Table'!$S63,0)</f>
        <v>2567900795.1199999</v>
      </c>
      <c r="U63" s="38">
        <f>IFERROR(INDEX('Prior YTD Data Pull'!$A$2:$CB$605,MATCH('Prior YTD Data Table'!$C63,'Prior YTD Data Pull'!$A$2:$A$605,0),MATCH("Total Expenses Including Nonrecurring Gains Losses",'Prior YTD Data Pull'!$A$1:$CB$1,0)),"")</f>
        <v>4714687000</v>
      </c>
      <c r="V63" s="41">
        <f t="shared" si="7"/>
        <v>0</v>
      </c>
      <c r="W63" s="41">
        <f t="shared" si="8"/>
        <v>46.48840500729721</v>
      </c>
      <c r="X63" s="41">
        <f t="shared" si="0"/>
        <v>61.876325913341013</v>
      </c>
      <c r="Y63" s="37">
        <f t="shared" si="9"/>
        <v>0.12572073226702277</v>
      </c>
      <c r="Z63" s="41">
        <f t="shared" si="1"/>
        <v>105.02936251293514</v>
      </c>
      <c r="AA63" s="39">
        <f t="shared" si="10"/>
        <v>0.14334648698285063</v>
      </c>
      <c r="AB63" s="37">
        <f t="shared" si="11"/>
        <v>0.46821785185775477</v>
      </c>
      <c r="AC63" s="37">
        <f t="shared" si="12"/>
        <v>0.36914570981158934</v>
      </c>
      <c r="AD63" s="38">
        <f>IFERROR(INDEX('Prior YTD Data Pull'!$A$2:$CB$605,MATCH('Prior YTD Data Table'!$C63,'Prior YTD Data Pull'!$A$2:$A$605,0),MATCH("Net Patient Service Revenue",'Prior YTD Data Pull'!$A$1:$CB$1,0)),"")</f>
        <v>3761710000</v>
      </c>
      <c r="AE63" s="38">
        <f>IFERROR(INDEX('Prior YTD Data Pull'!$A$2:$CB$605,MATCH('Prior YTD Data Table'!$C63,'Prior YTD Data Pull'!$A$2:$A$605,0),MATCH("Total Current Assets",'Prior YTD Data Pull'!$A$1:$CB$1,0)),"")</f>
        <v>4032188000</v>
      </c>
      <c r="AF63" s="38">
        <f>IFERROR(INDEX('Prior YTD Data Pull'!$A$2:$CB$605,MATCH('Prior YTD Data Table'!$C63,'Prior YTD Data Pull'!$A$2:$A$605,0),MATCH("Total Current Liabilities",'Prior YTD Data Pull'!$A$1:$CB$1,0)),"")</f>
        <v>1690973000</v>
      </c>
      <c r="AG63" s="38">
        <f>IFERROR(INDEX('Prior YTD Data Pull'!$A$2:$CB$605,MATCH('Prior YTD Data Table'!$C63,'Prior YTD Data Pull'!$A$2:$A$605,0),MATCH("Total Non Operating Revenue",'Prior YTD Data Pull'!$A$1:$CB$1,0)),"")</f>
        <v>60225000</v>
      </c>
      <c r="AH63" s="38">
        <f>IFERROR(INDEX('Prior YTD Data Pull'!$A$2:$CB$605,MATCH('Prior YTD Data Table'!$C63,'Prior Year Data Pull'!$A$2:$A$593,0),MATCH("Less Accumulated Depreciation",'Prior YTD Data Pull'!$A$1:$CB$1,0)),"")</f>
        <v>0</v>
      </c>
      <c r="AI63" s="38">
        <f>IFERROR(INDEX('Prior YTD Data Pull'!$A$2:$CB$605,MATCH('Prior YTD Data Table'!$C63,'Prior YTD Data Pull'!$A$2:$A$605,0),MATCH("Depreciation and Amortization Expense",'Prior YTD Data Pull'!$A$1:$CB$1,0)),"")</f>
        <v>166030000</v>
      </c>
      <c r="AJ63" s="38">
        <f>IFERROR(INDEX('Prior YTD Data Pull'!$A$2:$CB$605,MATCH('Prior YTD Data Table'!$C63,'Prior YTD Data Pull'!$A$2:$A$605,0),MATCH("Net Patient Accounts Receivable",'Prior YTD Data Pull'!$A$1:$CB$1,0)),"")</f>
        <v>955606000</v>
      </c>
      <c r="AK63" s="14" t="str">
        <f>IF('Prior YTD Data Pull'!$H63 = 6, "183", IF('Prior YTD Data Pull'!$H63 = 3, "93",""))</f>
        <v>183</v>
      </c>
      <c r="AL63" s="38">
        <f>IFERROR(INDEX('Prior YTD Data Pull'!$A$2:$CB$605,MATCH('Prior YTD Data Table'!$C63,'Prior YTD Data Pull'!$A$2:$A$605,0),MATCH("Estimated Third Party Settlements",'Prior YTD Data Pull'!$A$1:$CB$1,0)),"")</f>
        <v>152972000</v>
      </c>
      <c r="AM63" s="38">
        <f>IFERROR(INDEX('Prior YTD Data Pull'!$A$2:$CB$605,MATCH('Prior YTD Data Table'!$C63,'Prior YTD Data Pull'!$A$2:$A$605,0),MATCH("Current Liabilities due to Affiliates",'Prior YTD Data Pull'!$A$1:$CB$1,0)),"")</f>
        <v>0</v>
      </c>
      <c r="AN63" s="38">
        <f>IFERROR(INDEX('Prior YTD Data Pull'!$A$2:$CB$605,MATCH('Prior YTD Data Table'!$C63,'Prior YTD Data Pull'!$A$2:$A$605,0),MATCH("Short Term Investments",'Prior YTD Data Pull'!$A$1:$CB$1,0)),"")</f>
        <v>2247198000</v>
      </c>
      <c r="AO63" s="38">
        <f>IFERROR(INDEX('Prior YTD Data Pull'!$A$2:$CB$605,MATCH('Prior YTD Data Table'!$C63,'Prior YTD Data Pull'!$A$2:$A$605,0),MATCH("Cash and Cash Equivalents",'Prior YTD Data Pull'!$A$1:$CB$1,0)),"")</f>
        <v>363417000</v>
      </c>
      <c r="AP63" s="38">
        <f>IFERROR(INDEX('Prior YTD Data Pull'!$A$2:$CB$605,MATCH('Prior YTD Data Table'!$C63,'Prior YTD Data Pull'!$A$2:$A$605,0),MATCH("Interest Expense",'Prior YTD Data Pull'!$A$1:$CB$1,0)),"")</f>
        <v>40616000</v>
      </c>
      <c r="AQ63" s="38">
        <f>IFERROR(INDEX('Prior YTD Data Pull'!$A$2:$CB$605,MATCH('Prior YTD Data Table'!$C63,'Prior YTD Data Pull'!$A$2:$A$605,0),MATCH("Long Term Debt Net of Current Portion",'Prior YTD Data Pull'!$A$1:$CB$1,0)),"")</f>
        <v>1974034000</v>
      </c>
      <c r="AR63" s="38">
        <f>IFERROR(INDEX('Prior YTD Data Pull'!$A$2:$CB$605,MATCH('Prior YTD Data Table'!$C63,'Prior YTD Data Pull'!$A$2:$A$605,0),MATCH("Total Assets",'Prior YTD Data Pull'!$A$1:$CB$1,0)),"")</f>
        <v>9336216000</v>
      </c>
      <c r="AS63" s="38">
        <f>IFERROR(INDEX('Prior YTD Data Pull'!$A$2:$CB$605,MATCH('Prior YTD Data Table'!$C63,'Prior YTD Data Pull'!$A$2:$A$605,0),MATCH("Long Term Debt Net of Current Portion",'Prior YTD Data Pull'!$A$1:$CB$1,0)),"")</f>
        <v>1974034000</v>
      </c>
      <c r="AT63" s="38">
        <f>IFERROR(INDEX('Prior YTD Data Pull'!$A$2:$CB$605,MATCH('Prior YTD Data Table'!$C63,'Prior YTD Data Pull'!$A$2:$A$605,0),MATCH("Net Unrestricted Assets",'Prior YTD Data Pull'!$A$1:$CB$1,0)),"")</f>
        <v>3373540000</v>
      </c>
      <c r="AU63" s="38">
        <f>IFERROR(INDEX('Prior YTD Data Pull'!$A$2:$CB$605,MATCH('Prior YTD Data Table'!$C63,'Prior YTD Data Pull'!$A$2:$A$605,0),MATCH("Unrealized Gains/Losses",'Prior YTD Data Pull'!$A$1:$CB$1,0)),"")</f>
        <v>-6428000</v>
      </c>
      <c r="AV63" s="38">
        <f>IFERROR(INDEX('Prior YTD Data Pull'!$A$2:$CB$605,MATCH('Prior YTD Data Table'!$C63,'Prior YTD Data Pull'!$A$2:$A$605,0),MATCH("Salary and Benefit Expense",'Prior YTD Data Pull'!$A$1:$CB$1,0)),"")</f>
        <v>2600989000</v>
      </c>
      <c r="AW63" s="47"/>
      <c r="AX63" s="47"/>
      <c r="AY63" s="47"/>
      <c r="AZ63" s="47"/>
    </row>
    <row r="64" spans="1:52" ht="34.200000000000003" x14ac:dyDescent="0.3">
      <c r="A64" s="14" t="str">
        <f>IFERROR(INDEX('Static Data Tab'!$N$2:$N$610,MATCH(D64,'Static Data Tab'!$D$2:$D$610,0)), "")</f>
        <v>Brown University Health</v>
      </c>
      <c r="B64" s="57" t="s">
        <v>174</v>
      </c>
      <c r="C64" s="57">
        <v>22350</v>
      </c>
      <c r="D64" s="57">
        <v>22350</v>
      </c>
      <c r="E64" s="14" t="str">
        <f>IFERROR(INDEX('Prior YTD Data Pull'!$A$1:$CB$605,MATCH('Prior YTD Data Table'!$C64,'Prior YTD Data Pull'!$A$1:$A$605,0),MATCH("Organization Type",'Prior YTD Data Pull'!$A$1:$CB$1,0)),"")</f>
        <v>HHS</v>
      </c>
      <c r="F64" s="14" t="str">
        <f>IFERROR(INDEX('Static Data Tab'!$E$2:$E$610,MATCH('Prior YTD Data Table'!$C64,'Static Data Tab'!$B$2:$B$610,0)), "-")</f>
        <v>-</v>
      </c>
      <c r="G64" s="46" t="str">
        <f>IFERROR(INDEX('Static Data Tab'!$J$2:$J$610,MATCH('Prior YTD Data Table'!$C64,'Static Data Tab'!$B$2:$B$610,0)), "")</f>
        <v/>
      </c>
      <c r="H64" s="14" t="str">
        <f>IFERROR(INDEX('Static Data Tab'!$F$2:$F$610,MATCH('Prior YTD Data Table'!$C64,'Static Data Tab'!$B$2:$B$610,0)), "")</f>
        <v/>
      </c>
      <c r="I64" s="14" t="str">
        <f>IFERROR(INDEX('Static Data Tab'!$G$2:$G$610,MATCH('Prior YTD Data Table'!$C64,'Static Data Tab'!$B$2:$B$610,0)), "")</f>
        <v/>
      </c>
      <c r="J64" s="14" t="str">
        <f>IFERROR(INDEX('Prior YTD Data Pull'!$A$2:$CB$605,MATCH('Prior YTD Data Table'!$C64,'Prior YTD Data Pull'!$A$2:$A$605,0),MATCH("Quarter Range",'Prior YTD Data Pull'!$A$1:$CB$1,0)),"")</f>
        <v xml:space="preserve">10/01/2024-03/31/2025
</v>
      </c>
      <c r="K64" s="37">
        <f t="shared" si="2"/>
        <v>1.2363603482839127E-2</v>
      </c>
      <c r="L64" s="37">
        <f t="shared" si="3"/>
        <v>-3.5148131593187759E-3</v>
      </c>
      <c r="M64" s="37">
        <f t="shared" si="4"/>
        <v>8.8487903235203499E-3</v>
      </c>
      <c r="N64" s="38">
        <f t="shared" si="5"/>
        <v>18985000</v>
      </c>
      <c r="O64" s="39">
        <f t="shared" si="6"/>
        <v>1.2808222617453036</v>
      </c>
      <c r="P64" s="38">
        <f>IFERROR(INDEX('Prior YTD Data Pull'!$A$2:$CB$605,MATCH('Prior YTD Data Table'!$C64,'Prior YTD Data Pull'!$A$2:$A$605,0),MATCH("Total Net Assets or Equity",'Prior YTD Data Pull'!$A$1:$CB$1,0)),"")</f>
        <v>2113605000</v>
      </c>
      <c r="Q64" s="38">
        <f>IFERROR(INDEX('Prior YTD Data Pull'!$A$2:$CB$605,MATCH('Prior YTD Data Table'!$C64,'Prior YTD Data Pull'!$A$2:$A$605,0),MATCH("Total Operating Revenue",'Prior YTD Data Pull'!$A$1:$CB$1,0)),"")</f>
        <v>2153032000</v>
      </c>
      <c r="R64" s="38">
        <f>IFERROR(INDEX('Prior YTD Data Pull'!$A$2:$CB$605,MATCH('Prior YTD Data Table'!$C64,'Prior YTD Data Pull'!$A$2:$A$605,0),MATCH("Total Unrestricted Revenue Gains and Other Support",'Prior YTD Data Pull'!$A$1:$CB$1,0)),"")</f>
        <v>2145491000</v>
      </c>
      <c r="S64" s="38">
        <f>IFERROR(INDEX('Prior YTD TS Data Pull'!$J$2:$J$128,MATCH('Prior YTD Data Table'!$C64, 'Prior YTD TS Data Pull'!$A$2:$A$128,0))+INDEX('Prior YTD TS Data Pull'!$N$2:$N$128,MATCH('Prior YTD Data Table'!$C64,'Prior YTD TS Data Pull'!$A$2:$A$609,0))+INDEX('Prior YTD TS Data Pull'!$R$2:$R$128,MATCH('Prior YTD Data Table'!$C64,'Prior YTD TS Data Pull'!$A$2:$A$609,0)),"")</f>
        <v>0</v>
      </c>
      <c r="T64" s="38">
        <f>IF(INDEX('Prior YTD TS Data Pull'!$A$1:$O$609,MATCH('Prior YTD Data Table'!$C64,'Prior YTD TS Data Pull'!$A$1:$A$609,0),MATCH("Temporary RN Staffing:
Line Reported on in Standardized Financials",'Prior YTD TS Data Pull'!$A$1:$O$1,0))="66.1: Salary and Benefit Expense",'Prior YTD Data Table'!$AV64-'Prior YTD Data Table'!$S64,0)</f>
        <v>0</v>
      </c>
      <c r="U64" s="38">
        <f>IFERROR(INDEX('Prior YTD Data Pull'!$A$2:$CB$605,MATCH('Prior YTD Data Table'!$C64,'Prior YTD Data Pull'!$A$2:$A$605,0),MATCH("Total Expenses Including Nonrecurring Gains Losses",'Prior YTD Data Pull'!$A$1:$CB$1,0)),"")</f>
        <v>2126506000</v>
      </c>
      <c r="V64" s="41">
        <f t="shared" si="7"/>
        <v>0</v>
      </c>
      <c r="W64" s="41">
        <f t="shared" si="8"/>
        <v>42.256204048646836</v>
      </c>
      <c r="X64" s="41">
        <f t="shared" si="0"/>
        <v>70.665707146252942</v>
      </c>
      <c r="Y64" s="37">
        <f t="shared" si="9"/>
        <v>7.4458553434562688E-2</v>
      </c>
      <c r="Z64" s="41">
        <f t="shared" si="1"/>
        <v>28.094227223710302</v>
      </c>
      <c r="AA64" s="39">
        <f t="shared" si="10"/>
        <v>8.8732964459946509E-2</v>
      </c>
      <c r="AB64" s="37">
        <f t="shared" si="11"/>
        <v>0.48031488547666756</v>
      </c>
      <c r="AC64" s="37">
        <f t="shared" si="12"/>
        <v>0.43146531530919857</v>
      </c>
      <c r="AD64" s="38">
        <f>IFERROR(INDEX('Prior YTD Data Pull'!$A$2:$CB$605,MATCH('Prior YTD Data Table'!$C64,'Prior YTD Data Pull'!$A$2:$A$605,0),MATCH("Net Patient Service Revenue",'Prior YTD Data Pull'!$A$1:$CB$1,0)),"")</f>
        <v>1826388000</v>
      </c>
      <c r="AE64" s="38">
        <f>IFERROR(INDEX('Prior YTD Data Pull'!$A$2:$CB$605,MATCH('Prior YTD Data Table'!$C64,'Prior YTD Data Pull'!$A$2:$A$605,0),MATCH("Total Current Assets",'Prior YTD Data Pull'!$A$1:$CB$1,0)),"")</f>
        <v>1096795000</v>
      </c>
      <c r="AF64" s="38">
        <f>IFERROR(INDEX('Prior YTD Data Pull'!$A$2:$CB$605,MATCH('Prior YTD Data Table'!$C64,'Prior YTD Data Pull'!$A$2:$A$605,0),MATCH("Total Current Liabilities",'Prior YTD Data Pull'!$A$1:$CB$1,0)),"")</f>
        <v>856321000</v>
      </c>
      <c r="AG64" s="38">
        <f>IFERROR(INDEX('Prior YTD Data Pull'!$A$2:$CB$605,MATCH('Prior YTD Data Table'!$C64,'Prior YTD Data Pull'!$A$2:$A$605,0),MATCH("Total Non Operating Revenue",'Prior YTD Data Pull'!$A$1:$CB$1,0)),"")</f>
        <v>-7541000</v>
      </c>
      <c r="AH64" s="38">
        <f>IFERROR(INDEX('Prior YTD Data Pull'!$A$2:$CB$605,MATCH('Prior YTD Data Table'!$C64,'Prior Year Data Pull'!$A$2:$A$593,0),MATCH("Less Accumulated Depreciation",'Prior YTD Data Pull'!$A$1:$CB$1,0)),"")</f>
        <v>0</v>
      </c>
      <c r="AI64" s="38">
        <f>IFERROR(INDEX('Prior YTD Data Pull'!$A$2:$CB$605,MATCH('Prior YTD Data Table'!$C64,'Prior YTD Data Pull'!$A$2:$A$605,0),MATCH("Depreciation and Amortization Expense",'Prior YTD Data Pull'!$A$1:$CB$1,0)),"")</f>
        <v>56722000</v>
      </c>
      <c r="AJ64" s="38">
        <f>IFERROR(INDEX('Prior YTD Data Pull'!$A$2:$CB$605,MATCH('Prior YTD Data Table'!$C64,'Prior YTD Data Pull'!$A$2:$A$605,0),MATCH("Net Patient Accounts Receivable",'Prior YTD Data Pull'!$A$1:$CB$1,0)),"")</f>
        <v>421728000</v>
      </c>
      <c r="AK64" s="14" t="str">
        <f>IF('Prior YTD Data Pull'!$H64 = 6, "183", IF('Prior YTD Data Pull'!$H64 = 3, "93",""))</f>
        <v>183</v>
      </c>
      <c r="AL64" s="38">
        <f>IFERROR(INDEX('Prior YTD Data Pull'!$A$2:$CB$605,MATCH('Prior YTD Data Table'!$C64,'Prior YTD Data Pull'!$A$2:$A$605,0),MATCH("Estimated Third Party Settlements",'Prior YTD Data Pull'!$A$1:$CB$1,0)),"")</f>
        <v>57071000</v>
      </c>
      <c r="AM64" s="38">
        <f>IFERROR(INDEX('Prior YTD Data Pull'!$A$2:$CB$605,MATCH('Prior YTD Data Table'!$C64,'Prior YTD Data Pull'!$A$2:$A$605,0),MATCH("Current Liabilities due to Affiliates",'Prior YTD Data Pull'!$A$1:$CB$1,0)),"")</f>
        <v>0</v>
      </c>
      <c r="AN64" s="38">
        <f>IFERROR(INDEX('Prior YTD Data Pull'!$A$2:$CB$605,MATCH('Prior YTD Data Table'!$C64,'Prior YTD Data Pull'!$A$2:$A$605,0),MATCH("Short Term Investments",'Prior YTD Data Pull'!$A$1:$CB$1,0)),"")</f>
        <v>0</v>
      </c>
      <c r="AO64" s="38">
        <f>IFERROR(INDEX('Prior YTD Data Pull'!$A$2:$CB$605,MATCH('Prior YTD Data Table'!$C64,'Prior YTD Data Pull'!$A$2:$A$605,0),MATCH("Cash and Cash Equivalents",'Prior YTD Data Pull'!$A$1:$CB$1,0)),"")</f>
        <v>317754000</v>
      </c>
      <c r="AP64" s="38">
        <f>IFERROR(INDEX('Prior YTD Data Pull'!$A$2:$CB$605,MATCH('Prior YTD Data Table'!$C64,'Prior YTD Data Pull'!$A$2:$A$605,0),MATCH("Interest Expense",'Prior YTD Data Pull'!$A$1:$CB$1,0)),"")</f>
        <v>15927000</v>
      </c>
      <c r="AQ64" s="38">
        <f>IFERROR(INDEX('Prior YTD Data Pull'!$A$2:$CB$605,MATCH('Prior YTD Data Table'!$C64,'Prior YTD Data Pull'!$A$2:$A$605,0),MATCH("Long Term Debt Net of Current Portion",'Prior YTD Data Pull'!$A$1:$CB$1,0)),"")</f>
        <v>1016767000</v>
      </c>
      <c r="AR64" s="38">
        <f>IFERROR(INDEX('Prior YTD Data Pull'!$A$2:$CB$605,MATCH('Prior YTD Data Table'!$C64,'Prior YTD Data Pull'!$A$2:$A$605,0),MATCH("Total Assets",'Prior YTD Data Pull'!$A$1:$CB$1,0)),"")</f>
        <v>4400457000</v>
      </c>
      <c r="AS64" s="38">
        <f>IFERROR(INDEX('Prior YTD Data Pull'!$A$2:$CB$605,MATCH('Prior YTD Data Table'!$C64,'Prior YTD Data Pull'!$A$2:$A$605,0),MATCH("Long Term Debt Net of Current Portion",'Prior YTD Data Pull'!$A$1:$CB$1,0)),"")</f>
        <v>1016767000</v>
      </c>
      <c r="AT64" s="38">
        <f>IFERROR(INDEX('Prior YTD Data Pull'!$A$2:$CB$605,MATCH('Prior YTD Data Table'!$C64,'Prior YTD Data Pull'!$A$2:$A$605,0),MATCH("Net Unrestricted Assets",'Prior YTD Data Pull'!$A$1:$CB$1,0)),"")</f>
        <v>1339777000</v>
      </c>
      <c r="AU64" s="38">
        <f>IFERROR(INDEX('Prior YTD Data Pull'!$A$2:$CB$605,MATCH('Prior YTD Data Table'!$C64,'Prior YTD Data Pull'!$A$2:$A$605,0),MATCH("Unrealized Gains/Losses",'Prior YTD Data Pull'!$A$1:$CB$1,0)),"")</f>
        <v>0</v>
      </c>
      <c r="AV64" s="38">
        <f>IFERROR(INDEX('Prior YTD Data Pull'!$A$2:$CB$605,MATCH('Prior YTD Data Table'!$C64,'Prior YTD Data Pull'!$A$2:$A$605,0),MATCH("Salary and Benefit Expense",'Prior YTD Data Pull'!$A$1:$CB$1,0)),"")</f>
        <v>1224888000</v>
      </c>
      <c r="AW64" s="38"/>
      <c r="AX64" s="38"/>
      <c r="AY64" s="38"/>
      <c r="AZ64" s="38"/>
    </row>
    <row r="65" spans="1:52" ht="34.200000000000003" x14ac:dyDescent="0.3">
      <c r="A65" s="14" t="str">
        <f>IFERROR(INDEX('Static Data Tab'!$N$2:$N$610,MATCH(D65,'Static Data Tab'!$D$2:$D$610,0)), "")</f>
        <v>Mass General Brigham</v>
      </c>
      <c r="B65" s="14" t="s">
        <v>141</v>
      </c>
      <c r="C65" s="14">
        <v>3791</v>
      </c>
      <c r="D65" s="14">
        <v>3791</v>
      </c>
      <c r="E65" s="14" t="str">
        <f>IFERROR(INDEX('Prior YTD Data Pull'!$A$1:$CB$605,MATCH('Prior YTD Data Table'!$C65,'Prior YTD Data Pull'!$A$1:$A$605,0),MATCH("Organization Type",'Prior YTD Data Pull'!$A$1:$CB$1,0)),"")</f>
        <v>HHS</v>
      </c>
      <c r="F65" s="14" t="str">
        <f>IFERROR(INDEX('Static Data Tab'!$E$2:$E$610,MATCH('Prior YTD Data Table'!$C65,'Static Data Tab'!$B$2:$B$610,0)), "-")</f>
        <v>-</v>
      </c>
      <c r="G65" s="46" t="str">
        <f>IFERROR(INDEX('Static Data Tab'!$J$2:$J$610,MATCH('Prior YTD Data Table'!$C65,'Static Data Tab'!$B$2:$B$610,0)), "")</f>
        <v/>
      </c>
      <c r="H65" s="14" t="str">
        <f>IFERROR(INDEX('Static Data Tab'!$F$2:$F$610,MATCH('Prior YTD Data Table'!$C65,'Static Data Tab'!$B$2:$B$610,0)), "")</f>
        <v/>
      </c>
      <c r="I65" s="14" t="str">
        <f>IFERROR(INDEX('Static Data Tab'!$G$2:$G$610,MATCH('Prior YTD Data Table'!$C65,'Static Data Tab'!$B$2:$B$610,0)), "")</f>
        <v/>
      </c>
      <c r="J65" s="14" t="str">
        <f>IFERROR(INDEX('Prior YTD Data Pull'!$A$2:$CB$605,MATCH('Prior YTD Data Table'!$C65,'Prior YTD Data Pull'!$A$2:$A$605,0),MATCH("Quarter Range",'Prior YTD Data Pull'!$A$1:$CB$1,0)),"")</f>
        <v xml:space="preserve">10/01/2024-03/31/2025
</v>
      </c>
      <c r="K65" s="37">
        <f t="shared" si="2"/>
        <v>-1.0403583571622639E-2</v>
      </c>
      <c r="L65" s="37">
        <f t="shared" si="3"/>
        <v>3.5609654385143387E-2</v>
      </c>
      <c r="M65" s="37">
        <f t="shared" si="4"/>
        <v>2.5206070813520744E-2</v>
      </c>
      <c r="N65" s="38">
        <f t="shared" si="5"/>
        <v>287226000</v>
      </c>
      <c r="O65" s="39">
        <f t="shared" si="6"/>
        <v>2.6476607253111157</v>
      </c>
      <c r="P65" s="38">
        <f>IFERROR(INDEX('Prior YTD Data Pull'!$A$2:$CB$605,MATCH('Prior YTD Data Table'!$C65,'Prior YTD Data Pull'!$A$2:$A$605,0),MATCH("Total Net Assets or Equity",'Prior YTD Data Pull'!$A$1:$CB$1,0)),"")</f>
        <v>19908698000</v>
      </c>
      <c r="Q65" s="38">
        <f>IFERROR(INDEX('Prior YTD Data Pull'!$A$2:$CB$605,MATCH('Prior YTD Data Table'!$C65,'Prior YTD Data Pull'!$A$2:$A$605,0),MATCH("Total Operating Revenue",'Prior YTD Data Pull'!$A$1:$CB$1,0)),"")</f>
        <v>10989336000</v>
      </c>
      <c r="R65" s="38">
        <f>IFERROR(INDEX('Prior YTD Data Pull'!$A$2:$CB$605,MATCH('Prior YTD Data Table'!$C65,'Prior YTD Data Pull'!$A$2:$A$605,0),MATCH("Total Unrestricted Revenue Gains and Other Support",'Prior YTD Data Pull'!$A$1:$CB$1,0)),"")</f>
        <v>11395112000</v>
      </c>
      <c r="S65" s="38">
        <f>IFERROR(INDEX('Prior YTD TS Data Pull'!$J$2:$J$128,MATCH('Prior YTD Data Table'!$C65, 'Prior YTD TS Data Pull'!$A$2:$A$128,0))+INDEX('Prior YTD TS Data Pull'!$N$2:$N$128,MATCH('Prior YTD Data Table'!$C65,'Prior YTD TS Data Pull'!$A$2:$A$609,0))+INDEX('Prior YTD TS Data Pull'!$R$2:$R$128,MATCH('Prior YTD Data Table'!$C65,'Prior YTD TS Data Pull'!$A$2:$A$609,0)),"")</f>
        <v>67926049.981639102</v>
      </c>
      <c r="T65" s="38">
        <f>IF(INDEX('Prior YTD TS Data Pull'!$A$1:$O$609,MATCH('Prior YTD Data Table'!$C65,'Prior YTD TS Data Pull'!$A$1:$A$609,0),MATCH("Temporary RN Staffing:
Line Reported on in Standardized Financials",'Prior YTD TS Data Pull'!$A$1:$O$1,0))="66.1: Salary and Benefit Expense",'Prior YTD Data Table'!$AV65-'Prior YTD Data Table'!$S65,0)</f>
        <v>0</v>
      </c>
      <c r="U65" s="38">
        <f>IFERROR(INDEX('Prior YTD Data Pull'!$A$2:$CB$605,MATCH('Prior YTD Data Table'!$C65,'Prior YTD Data Pull'!$A$2:$A$605,0),MATCH("Total Expenses Including Nonrecurring Gains Losses",'Prior YTD Data Pull'!$A$1:$CB$1,0)),"")</f>
        <v>11107886000</v>
      </c>
      <c r="V65" s="41">
        <f t="shared" si="7"/>
        <v>0</v>
      </c>
      <c r="W65" s="41">
        <f t="shared" si="8"/>
        <v>49.50907856280746</v>
      </c>
      <c r="X65" s="41">
        <f t="shared" si="0"/>
        <v>72.782728696283712</v>
      </c>
      <c r="Y65" s="37">
        <f t="shared" si="9"/>
        <v>0.13209478413334189</v>
      </c>
      <c r="Z65" s="41">
        <f t="shared" si="1"/>
        <v>70.733945108244299</v>
      </c>
      <c r="AA65" s="39">
        <f t="shared" si="10"/>
        <v>0.14343204146816146</v>
      </c>
      <c r="AB65" s="37">
        <f t="shared" si="11"/>
        <v>0.61160689530955303</v>
      </c>
      <c r="AC65" s="37">
        <f t="shared" si="12"/>
        <v>0.26577262737971397</v>
      </c>
      <c r="AD65" s="38">
        <f>IFERROR(INDEX('Prior YTD Data Pull'!$A$2:$CB$605,MATCH('Prior YTD Data Table'!$C65,'Prior YTD Data Pull'!$A$2:$A$605,0),MATCH("Net Patient Service Revenue",'Prior YTD Data Pull'!$A$1:$CB$1,0)),"")</f>
        <v>7046655000</v>
      </c>
      <c r="AE65" s="38">
        <f>IFERROR(INDEX('Prior YTD Data Pull'!$A$2:$CB$605,MATCH('Prior YTD Data Table'!$C65,'Prior YTD Data Pull'!$A$2:$A$605,0),MATCH("Total Current Assets",'Prior YTD Data Pull'!$A$1:$CB$1,0)),"")</f>
        <v>11479640000</v>
      </c>
      <c r="AF65" s="38">
        <f>IFERROR(INDEX('Prior YTD Data Pull'!$A$2:$CB$605,MATCH('Prior YTD Data Table'!$C65,'Prior YTD Data Pull'!$A$2:$A$605,0),MATCH("Total Current Liabilities",'Prior YTD Data Pull'!$A$1:$CB$1,0)),"")</f>
        <v>4335767000</v>
      </c>
      <c r="AG65" s="38">
        <f>IFERROR(INDEX('Prior YTD Data Pull'!$A$2:$CB$605,MATCH('Prior YTD Data Table'!$C65,'Prior YTD Data Pull'!$A$2:$A$605,0),MATCH("Total Non Operating Revenue",'Prior YTD Data Pull'!$A$1:$CB$1,0)),"")</f>
        <v>405776000</v>
      </c>
      <c r="AH65" s="38">
        <f>IFERROR(INDEX('Prior YTD Data Pull'!$A$2:$CB$605,MATCH('Prior YTD Data Table'!$C65,'Prior Year Data Pull'!$A$2:$A$593,0),MATCH("Less Accumulated Depreciation",'Prior YTD Data Pull'!$A$1:$CB$1,0)),"")</f>
        <v>0</v>
      </c>
      <c r="AI65" s="38">
        <f>IFERROR(INDEX('Prior YTD Data Pull'!$A$2:$CB$605,MATCH('Prior YTD Data Table'!$C65,'Prior YTD Data Pull'!$A$2:$A$605,0),MATCH("Depreciation and Amortization Expense",'Prior YTD Data Pull'!$A$1:$CB$1,0)),"")</f>
        <v>392725000</v>
      </c>
      <c r="AJ65" s="38">
        <f>IFERROR(INDEX('Prior YTD Data Pull'!$A$2:$CB$605,MATCH('Prior YTD Data Table'!$C65,'Prior YTD Data Pull'!$A$2:$A$605,0),MATCH("Net Patient Accounts Receivable",'Prior YTD Data Pull'!$A$1:$CB$1,0)),"")</f>
        <v>1906412000</v>
      </c>
      <c r="AK65" s="14" t="str">
        <f>IF('Prior YTD Data Pull'!$H65 = 6, "183", IF('Prior YTD Data Pull'!$H65 = 3, "93",""))</f>
        <v>183</v>
      </c>
      <c r="AL65" s="38">
        <f>IFERROR(INDEX('Prior YTD Data Pull'!$A$2:$CB$605,MATCH('Prior YTD Data Table'!$C65,'Prior YTD Data Pull'!$A$2:$A$605,0),MATCH("Estimated Third Party Settlements",'Prior YTD Data Pull'!$A$1:$CB$1,0)),"")</f>
        <v>74135000</v>
      </c>
      <c r="AM65" s="38">
        <f>IFERROR(INDEX('Prior YTD Data Pull'!$A$2:$CB$605,MATCH('Prior YTD Data Table'!$C65,'Prior YTD Data Pull'!$A$2:$A$605,0),MATCH("Current Liabilities due to Affiliates",'Prior YTD Data Pull'!$A$1:$CB$1,0)),"")</f>
        <v>0</v>
      </c>
      <c r="AN65" s="38">
        <f>IFERROR(INDEX('Prior YTD Data Pull'!$A$2:$CB$605,MATCH('Prior YTD Data Table'!$C65,'Prior YTD Data Pull'!$A$2:$A$605,0),MATCH("Short Term Investments",'Prior YTD Data Pull'!$A$1:$CB$1,0)),"")</f>
        <v>4050042000</v>
      </c>
      <c r="AO65" s="38">
        <f>IFERROR(INDEX('Prior YTD Data Pull'!$A$2:$CB$605,MATCH('Prior YTD Data Table'!$C65,'Prior YTD Data Pull'!$A$2:$A$605,0),MATCH("Cash and Cash Equivalents",'Prior YTD Data Pull'!$A$1:$CB$1,0)),"")</f>
        <v>91628000</v>
      </c>
      <c r="AP65" s="38">
        <f>IFERROR(INDEX('Prior YTD Data Pull'!$A$2:$CB$605,MATCH('Prior YTD Data Table'!$C65,'Prior YTD Data Pull'!$A$2:$A$605,0),MATCH("Interest Expense",'Prior YTD Data Pull'!$A$1:$CB$1,0)),"")</f>
        <v>75375000</v>
      </c>
      <c r="AQ65" s="38">
        <f>IFERROR(INDEX('Prior YTD Data Pull'!$A$2:$CB$605,MATCH('Prior YTD Data Table'!$C65,'Prior YTD Data Pull'!$A$2:$A$605,0),MATCH("Long Term Debt Net of Current Portion",'Prior YTD Data Pull'!$A$1:$CB$1,0)),"")</f>
        <v>5694835000</v>
      </c>
      <c r="AR65" s="38">
        <f>IFERROR(INDEX('Prior YTD Data Pull'!$A$2:$CB$605,MATCH('Prior YTD Data Table'!$C65,'Prior YTD Data Pull'!$A$2:$A$605,0),MATCH("Total Assets",'Prior YTD Data Pull'!$A$1:$CB$1,0)),"")</f>
        <v>32551461000</v>
      </c>
      <c r="AS65" s="38">
        <f>IFERROR(INDEX('Prior YTD Data Pull'!$A$2:$CB$605,MATCH('Prior YTD Data Table'!$C65,'Prior YTD Data Pull'!$A$2:$A$605,0),MATCH("Long Term Debt Net of Current Portion",'Prior YTD Data Pull'!$A$1:$CB$1,0)),"")</f>
        <v>5694835000</v>
      </c>
      <c r="AT65" s="38">
        <f>IFERROR(INDEX('Prior YTD Data Pull'!$A$2:$CB$605,MATCH('Prior YTD Data Table'!$C65,'Prior YTD Data Pull'!$A$2:$A$605,0),MATCH("Net Unrestricted Assets",'Prior YTD Data Pull'!$A$1:$CB$1,0)),"")</f>
        <v>15732635000</v>
      </c>
      <c r="AU65" s="38">
        <f>IFERROR(INDEX('Prior YTD Data Pull'!$A$2:$CB$605,MATCH('Prior YTD Data Table'!$C65,'Prior YTD Data Pull'!$A$2:$A$605,0),MATCH("Unrealized Gains/Losses",'Prior YTD Data Pull'!$A$1:$CB$1,0)),"")</f>
        <v>-72307000</v>
      </c>
      <c r="AV65" s="38">
        <f>IFERROR(INDEX('Prior YTD Data Pull'!$A$2:$CB$605,MATCH('Prior YTD Data Table'!$C65,'Prior YTD Data Pull'!$A$2:$A$605,0),MATCH("Salary and Benefit Expense",'Prior YTD Data Pull'!$A$1:$CB$1,0)),"")</f>
        <v>5511328000</v>
      </c>
      <c r="AW65" s="47"/>
      <c r="AX65" s="47"/>
      <c r="AY65" s="47"/>
      <c r="AZ65" s="47"/>
    </row>
    <row r="66" spans="1:52" ht="34.200000000000003" x14ac:dyDescent="0.3">
      <c r="A66" s="14" t="str">
        <f>IFERROR(INDEX('Static Data Tab'!$N$2:$N$610,MATCH(D66,'Static Data Tab'!$D$2:$D$610,0)), "")</f>
        <v>Sturdy Memorial Foundation</v>
      </c>
      <c r="B66" s="57" t="s">
        <v>182</v>
      </c>
      <c r="C66" s="57">
        <v>11397</v>
      </c>
      <c r="D66" s="57">
        <v>12773</v>
      </c>
      <c r="E66" s="14" t="str">
        <f>IFERROR(INDEX('Prior YTD Data Pull'!$A$1:$CB$605,MATCH('Prior YTD Data Table'!$C66,'Prior YTD Data Pull'!$A$1:$A$605,0),MATCH("Organization Type",'Prior YTD Data Pull'!$A$1:$CB$1,0)),"")</f>
        <v>PhysicianOrganization</v>
      </c>
      <c r="F66" s="14" t="str">
        <f>IFERROR(INDEX('Static Data Tab'!$E$2:$E$610,MATCH('Prior YTD Data Table'!$C66,'Static Data Tab'!$B$2:$B$610,0)), "-")</f>
        <v>-</v>
      </c>
      <c r="G66" s="46" t="str">
        <f>IFERROR(INDEX('Static Data Tab'!$J$2:$J$610,MATCH('Prior YTD Data Table'!$C66,'Static Data Tab'!$B$2:$B$610,0)), "")</f>
        <v/>
      </c>
      <c r="H66" s="14" t="str">
        <f>IFERROR(INDEX('Static Data Tab'!$F$2:$F$610,MATCH('Prior YTD Data Table'!$C66,'Static Data Tab'!$B$2:$B$610,0)), "")</f>
        <v/>
      </c>
      <c r="I66" s="14" t="str">
        <f>IFERROR(INDEX('Static Data Tab'!$G$2:$G$610,MATCH('Prior YTD Data Table'!$C66,'Static Data Tab'!$B$2:$B$610,0)), "")</f>
        <v/>
      </c>
      <c r="J66" s="14" t="str">
        <f>IFERROR(INDEX('Prior YTD Data Pull'!$A$2:$CB$605,MATCH('Prior YTD Data Table'!$C66,'Prior YTD Data Pull'!$A$2:$A$605,0),MATCH("Quarter Range",'Prior YTD Data Pull'!$A$1:$CB$1,0)),"")</f>
        <v xml:space="preserve">10/01/2024-03/31/2025
</v>
      </c>
      <c r="K66" s="37">
        <f t="shared" si="2"/>
        <v>-0.28961917073290733</v>
      </c>
      <c r="L66" s="37">
        <f t="shared" si="3"/>
        <v>6.9266551395303039E-4</v>
      </c>
      <c r="M66" s="37">
        <f t="shared" si="4"/>
        <v>-0.2889265052189543</v>
      </c>
      <c r="N66" s="38">
        <f t="shared" si="5"/>
        <v>-9971318</v>
      </c>
      <c r="O66" s="39" t="str">
        <f t="shared" si="6"/>
        <v/>
      </c>
      <c r="P66" s="38">
        <f>IFERROR(INDEX('Prior YTD Data Pull'!$A$2:$CB$605,MATCH('Prior YTD Data Table'!$C66,'Prior YTD Data Pull'!$A$2:$A$605,0),MATCH("Total Net Assets or Equity",'Prior YTD Data Pull'!$A$1:$CB$1,0)),"")</f>
        <v>0</v>
      </c>
      <c r="Q66" s="38">
        <f>IFERROR(INDEX('Prior YTD Data Pull'!$A$2:$CB$605,MATCH('Prior YTD Data Table'!$C66,'Prior YTD Data Pull'!$A$2:$A$605,0),MATCH("Total Operating Revenue",'Prior YTD Data Pull'!$A$1:$CB$1,0)),"")</f>
        <v>34487702</v>
      </c>
      <c r="R66" s="38">
        <f>IFERROR(INDEX('Prior YTD Data Pull'!$A$2:$CB$605,MATCH('Prior YTD Data Table'!$C66,'Prior YTD Data Pull'!$A$2:$A$605,0),MATCH("Total Unrestricted Revenue Gains and Other Support",'Prior YTD Data Pull'!$A$1:$CB$1,0)),"")</f>
        <v>34511607</v>
      </c>
      <c r="S66" s="38">
        <f>IFERROR(INDEX('Prior YTD TS Data Pull'!$J$2:$J$128,MATCH('Prior YTD Data Table'!$C66, 'Prior YTD TS Data Pull'!$A$2:$A$128,0))+INDEX('Prior YTD TS Data Pull'!$N$2:$N$128,MATCH('Prior YTD Data Table'!$C66,'Prior YTD TS Data Pull'!$A$2:$A$609,0))+INDEX('Prior YTD TS Data Pull'!$R$2:$R$128,MATCH('Prior YTD Data Table'!$C66,'Prior YTD TS Data Pull'!$A$2:$A$609,0)),"")</f>
        <v>0</v>
      </c>
      <c r="T66" s="38">
        <f>IF(INDEX('Prior YTD TS Data Pull'!$A$1:$O$609,MATCH('Prior YTD Data Table'!$C66,'Prior YTD TS Data Pull'!$A$1:$A$609,0),MATCH("Temporary RN Staffing:
Line Reported on in Standardized Financials",'Prior YTD TS Data Pull'!$A$1:$O$1,0))="66.1: Salary and Benefit Expense",'Prior YTD Data Table'!$AV66-'Prior YTD Data Table'!$S66,0)</f>
        <v>0</v>
      </c>
      <c r="U66" s="38">
        <f>IFERROR(INDEX('Prior YTD Data Pull'!$A$2:$CB$605,MATCH('Prior YTD Data Table'!$C66,'Prior YTD Data Pull'!$A$2:$A$605,0),MATCH("Total Expenses Including Nonrecurring Gains Losses",'Prior YTD Data Pull'!$A$1:$CB$1,0)),"")</f>
        <v>44482925</v>
      </c>
      <c r="V66" s="41">
        <f t="shared" si="7"/>
        <v>0</v>
      </c>
      <c r="W66" s="41">
        <f t="shared" si="8"/>
        <v>0</v>
      </c>
      <c r="X66" s="41">
        <f t="shared" ref="X66:X128" si="13">IFERROR(($AF66-$AL66)/(($U66-$AI66)/$AK66), "")</f>
        <v>0</v>
      </c>
      <c r="Y66" s="37" t="str">
        <f t="shared" si="9"/>
        <v/>
      </c>
      <c r="Z66" s="41">
        <f t="shared" ref="Z66:Z128" si="14">IFERROR(($AO66+$AN66)/(($U66-$AI66)/$AK66), "")</f>
        <v>0</v>
      </c>
      <c r="AA66" s="39" t="str">
        <f t="shared" si="10"/>
        <v/>
      </c>
      <c r="AB66" s="37" t="str">
        <f t="shared" si="11"/>
        <v/>
      </c>
      <c r="AC66" s="37" t="str">
        <f t="shared" si="12"/>
        <v/>
      </c>
      <c r="AD66" s="38">
        <f>IFERROR(INDEX('Prior YTD Data Pull'!$A$2:$CB$605,MATCH('Prior YTD Data Table'!$C66,'Prior YTD Data Pull'!$A$2:$A$605,0),MATCH("Net Patient Service Revenue",'Prior YTD Data Pull'!$A$1:$CB$1,0)),"")</f>
        <v>31977151</v>
      </c>
      <c r="AE66" s="38">
        <f>IFERROR(INDEX('Prior YTD Data Pull'!$A$2:$CB$605,MATCH('Prior YTD Data Table'!$C66,'Prior YTD Data Pull'!$A$2:$A$605,0),MATCH("Total Current Assets",'Prior YTD Data Pull'!$A$1:$CB$1,0)),"")</f>
        <v>0</v>
      </c>
      <c r="AF66" s="38">
        <f>IFERROR(INDEX('Prior YTD Data Pull'!$A$2:$CB$605,MATCH('Prior YTD Data Table'!$C66,'Prior YTD Data Pull'!$A$2:$A$605,0),MATCH("Total Current Liabilities",'Prior YTD Data Pull'!$A$1:$CB$1,0)),"")</f>
        <v>0</v>
      </c>
      <c r="AG66" s="38">
        <f>IFERROR(INDEX('Prior YTD Data Pull'!$A$2:$CB$605,MATCH('Prior YTD Data Table'!$C66,'Prior YTD Data Pull'!$A$2:$A$605,0),MATCH("Total Non Operating Revenue",'Prior YTD Data Pull'!$A$1:$CB$1,0)),"")</f>
        <v>23905</v>
      </c>
      <c r="AH66" s="38">
        <f>IFERROR(INDEX('Prior YTD Data Pull'!$A$2:$CB$605,MATCH('Prior YTD Data Table'!$C66,'Prior Year Data Pull'!$A$2:$A$593,0),MATCH("Less Accumulated Depreciation",'Prior YTD Data Pull'!$A$1:$CB$1,0)),"")</f>
        <v>0</v>
      </c>
      <c r="AI66" s="38">
        <f>IFERROR(INDEX('Prior YTD Data Pull'!$A$2:$CB$605,MATCH('Prior YTD Data Table'!$C66,'Prior YTD Data Pull'!$A$2:$A$605,0),MATCH("Depreciation and Amortization Expense",'Prior YTD Data Pull'!$A$1:$CB$1,0)),"")</f>
        <v>218961</v>
      </c>
      <c r="AJ66" s="38">
        <f>IFERROR(INDEX('Prior YTD Data Pull'!$A$2:$CB$605,MATCH('Prior YTD Data Table'!$C66,'Prior YTD Data Pull'!$A$2:$A$605,0),MATCH("Net Patient Accounts Receivable",'Prior YTD Data Pull'!$A$1:$CB$1,0)),"")</f>
        <v>0</v>
      </c>
      <c r="AK66" s="14" t="str">
        <f>IF('Prior YTD Data Pull'!$H66 = 6, "183", IF('Prior YTD Data Pull'!$H66 = 3, "93",""))</f>
        <v>183</v>
      </c>
      <c r="AL66" s="38">
        <f>IFERROR(INDEX('Prior YTD Data Pull'!$A$2:$CB$605,MATCH('Prior YTD Data Table'!$C66,'Prior YTD Data Pull'!$A$2:$A$605,0),MATCH("Estimated Third Party Settlements",'Prior YTD Data Pull'!$A$1:$CB$1,0)),"")</f>
        <v>0</v>
      </c>
      <c r="AM66" s="38">
        <f>IFERROR(INDEX('Prior YTD Data Pull'!$A$2:$CB$605,MATCH('Prior YTD Data Table'!$C66,'Prior YTD Data Pull'!$A$2:$A$605,0),MATCH("Current Liabilities due to Affiliates",'Prior YTD Data Pull'!$A$1:$CB$1,0)),"")</f>
        <v>0</v>
      </c>
      <c r="AN66" s="38">
        <f>IFERROR(INDEX('Prior YTD Data Pull'!$A$2:$CB$605,MATCH('Prior YTD Data Table'!$C66,'Prior YTD Data Pull'!$A$2:$A$605,0),MATCH("Short Term Investments",'Prior YTD Data Pull'!$A$1:$CB$1,0)),"")</f>
        <v>0</v>
      </c>
      <c r="AO66" s="38">
        <f>IFERROR(INDEX('Prior YTD Data Pull'!$A$2:$CB$605,MATCH('Prior YTD Data Table'!$C66,'Prior YTD Data Pull'!$A$2:$A$605,0),MATCH("Cash and Cash Equivalents",'Prior YTD Data Pull'!$A$1:$CB$1,0)),"")</f>
        <v>0</v>
      </c>
      <c r="AP66" s="38">
        <f>IFERROR(INDEX('Prior YTD Data Pull'!$A$2:$CB$605,MATCH('Prior YTD Data Table'!$C66,'Prior YTD Data Pull'!$A$2:$A$605,0),MATCH("Interest Expense",'Prior YTD Data Pull'!$A$1:$CB$1,0)),"")</f>
        <v>0</v>
      </c>
      <c r="AQ66" s="38">
        <f>IFERROR(INDEX('Prior YTD Data Pull'!$A$2:$CB$605,MATCH('Prior YTD Data Table'!$C66,'Prior YTD Data Pull'!$A$2:$A$605,0),MATCH("Long Term Debt Net of Current Portion",'Prior YTD Data Pull'!$A$1:$CB$1,0)),"")</f>
        <v>0</v>
      </c>
      <c r="AR66" s="38">
        <f>IFERROR(INDEX('Prior YTD Data Pull'!$A$2:$CB$605,MATCH('Prior YTD Data Table'!$C66,'Prior YTD Data Pull'!$A$2:$A$605,0),MATCH("Total Assets",'Prior YTD Data Pull'!$A$1:$CB$1,0)),"")</f>
        <v>0</v>
      </c>
      <c r="AS66" s="38">
        <f>IFERROR(INDEX('Prior YTD Data Pull'!$A$2:$CB$605,MATCH('Prior YTD Data Table'!$C66,'Prior YTD Data Pull'!$A$2:$A$605,0),MATCH("Long Term Debt Net of Current Portion",'Prior YTD Data Pull'!$A$1:$CB$1,0)),"")</f>
        <v>0</v>
      </c>
      <c r="AT66" s="38">
        <f>IFERROR(INDEX('Prior YTD Data Pull'!$A$2:$CB$605,MATCH('Prior YTD Data Table'!$C66,'Prior YTD Data Pull'!$A$2:$A$605,0),MATCH("Net Unrestricted Assets",'Prior YTD Data Pull'!$A$1:$CB$1,0)),"")</f>
        <v>0</v>
      </c>
      <c r="AU66" s="38">
        <f>IFERROR(INDEX('Prior YTD Data Pull'!$A$2:$CB$605,MATCH('Prior YTD Data Table'!$C66,'Prior YTD Data Pull'!$A$2:$A$605,0),MATCH("Unrealized Gains/Losses",'Prior YTD Data Pull'!$A$1:$CB$1,0)),"")</f>
        <v>0</v>
      </c>
      <c r="AV66" s="38">
        <f>IFERROR(INDEX('Prior YTD Data Pull'!$A$2:$CB$605,MATCH('Prior YTD Data Table'!$C66,'Prior YTD Data Pull'!$A$2:$A$605,0),MATCH("Salary and Benefit Expense",'Prior YTD Data Pull'!$A$1:$CB$1,0)),"")</f>
        <v>36751387</v>
      </c>
      <c r="AW66" s="38"/>
      <c r="AX66" s="38"/>
      <c r="AY66" s="38"/>
      <c r="AZ66" s="38"/>
    </row>
    <row r="67" spans="1:52" ht="34.200000000000003" x14ac:dyDescent="0.3">
      <c r="A67" s="14" t="str">
        <f>IFERROR(INDEX('Static Data Tab'!$N$2:$N$610,MATCH(D67,'Static Data Tab'!$D$2:$D$610,0)), "")</f>
        <v>Signature Healthcare Corporation</v>
      </c>
      <c r="B67" s="14" t="s">
        <v>165</v>
      </c>
      <c r="C67" s="14">
        <v>10327</v>
      </c>
      <c r="D67" s="14">
        <v>9991</v>
      </c>
      <c r="E67" s="14" t="str">
        <f>IFERROR(INDEX('Prior YTD Data Pull'!$A$1:$CB$605,MATCH('Prior YTD Data Table'!$C67,'Prior YTD Data Pull'!$A$1:$A$605,0),MATCH("Organization Type",'Prior YTD Data Pull'!$A$1:$CB$1,0)),"")</f>
        <v>PhysicianOrganization</v>
      </c>
      <c r="F67" s="14" t="str">
        <f>IFERROR(INDEX('Static Data Tab'!$E$2:$E$610,MATCH('Prior YTD Data Table'!$C67,'Static Data Tab'!$B$2:$B$610,0)), "-")</f>
        <v>-</v>
      </c>
      <c r="G67" s="46" t="str">
        <f>IFERROR(INDEX('Static Data Tab'!$J$2:$J$610,MATCH('Prior YTD Data Table'!$C67,'Static Data Tab'!$B$2:$B$610,0)), "")</f>
        <v/>
      </c>
      <c r="H67" s="14" t="str">
        <f>IFERROR(INDEX('Static Data Tab'!$F$2:$F$610,MATCH('Prior YTD Data Table'!$C67,'Static Data Tab'!$B$2:$B$610,0)), "")</f>
        <v/>
      </c>
      <c r="I67" s="14" t="str">
        <f>IFERROR(INDEX('Static Data Tab'!$G$2:$G$610,MATCH('Prior YTD Data Table'!$C67,'Static Data Tab'!$B$2:$B$610,0)), "")</f>
        <v/>
      </c>
      <c r="J67" s="14" t="str">
        <f>IFERROR(INDEX('Prior YTD Data Pull'!$A$2:$CB$605,MATCH('Prior YTD Data Table'!$C67,'Prior YTD Data Pull'!$A$2:$A$605,0),MATCH("Quarter Range",'Prior YTD Data Pull'!$A$1:$CB$1,0)),"")</f>
        <v xml:space="preserve">10/01/2024-03/31/2025
</v>
      </c>
      <c r="K67" s="37">
        <f t="shared" ref="K67:K129" si="15">IFERROR(($Q67-$U67)/$R67, "")</f>
        <v>-0.15695476792978852</v>
      </c>
      <c r="L67" s="37">
        <f t="shared" ref="L67:L129" si="16">IFERROR($AG67/$R67, "")</f>
        <v>0</v>
      </c>
      <c r="M67" s="37">
        <f t="shared" ref="M67:M129" si="17">IFERROR(($R67-$U67)/$R67, "")</f>
        <v>-0.15695476792978852</v>
      </c>
      <c r="N67" s="38">
        <f t="shared" ref="N67:N129" si="18">IFERROR($R67-$U67, "")</f>
        <v>-6698754</v>
      </c>
      <c r="O67" s="39" t="str">
        <f t="shared" ref="O67:O129" si="19">IFERROR($AE67/$AF67, "")</f>
        <v/>
      </c>
      <c r="P67" s="38">
        <f>IFERROR(INDEX('Prior YTD Data Pull'!$A$2:$CB$605,MATCH('Prior YTD Data Table'!$C67,'Prior YTD Data Pull'!$A$2:$A$605,0),MATCH("Total Net Assets or Equity",'Prior YTD Data Pull'!$A$1:$CB$1,0)),"")</f>
        <v>0</v>
      </c>
      <c r="Q67" s="38">
        <f>IFERROR(INDEX('Prior YTD Data Pull'!$A$2:$CB$605,MATCH('Prior YTD Data Table'!$C67,'Prior YTD Data Pull'!$A$2:$A$605,0),MATCH("Total Operating Revenue",'Prior YTD Data Pull'!$A$1:$CB$1,0)),"")</f>
        <v>42679519</v>
      </c>
      <c r="R67" s="38">
        <f>IFERROR(INDEX('Prior YTD Data Pull'!$A$2:$CB$605,MATCH('Prior YTD Data Table'!$C67,'Prior YTD Data Pull'!$A$2:$A$605,0),MATCH("Total Unrestricted Revenue Gains and Other Support",'Prior YTD Data Pull'!$A$1:$CB$1,0)),"")</f>
        <v>42679519</v>
      </c>
      <c r="S67" s="38">
        <f>IFERROR(INDEX('Prior YTD TS Data Pull'!$J$2:$J$128,MATCH('Prior YTD Data Table'!$C67, 'Prior YTD TS Data Pull'!$A$2:$A$128,0))+INDEX('Prior YTD TS Data Pull'!$N$2:$N$128,MATCH('Prior YTD Data Table'!$C67,'Prior YTD TS Data Pull'!$A$2:$A$609,0))+INDEX('Prior YTD TS Data Pull'!$R$2:$R$128,MATCH('Prior YTD Data Table'!$C67,'Prior YTD TS Data Pull'!$A$2:$A$609,0)),"")</f>
        <v>2713274</v>
      </c>
      <c r="T67" s="38">
        <f>IF(INDEX('Prior YTD TS Data Pull'!$A$1:$O$609,MATCH('Prior YTD Data Table'!$C67,'Prior YTD TS Data Pull'!$A$1:$A$609,0),MATCH("Temporary RN Staffing:
Line Reported on in Standardized Financials",'Prior YTD TS Data Pull'!$A$1:$O$1,0))="66.1: Salary and Benefit Expense",'Prior YTD Data Table'!$AV67-'Prior YTD Data Table'!$S67,0)</f>
        <v>0</v>
      </c>
      <c r="U67" s="38">
        <f>IFERROR(INDEX('Prior YTD Data Pull'!$A$2:$CB$605,MATCH('Prior YTD Data Table'!$C67,'Prior YTD Data Pull'!$A$2:$A$605,0),MATCH("Total Expenses Including Nonrecurring Gains Losses",'Prior YTD Data Pull'!$A$1:$CB$1,0)),"")</f>
        <v>49378273</v>
      </c>
      <c r="V67" s="41">
        <f t="shared" ref="V67:V129" si="20">IFERROR($AH67/$AI67, "")</f>
        <v>0</v>
      </c>
      <c r="W67" s="41">
        <f t="shared" ref="W67:W129" si="21">IFERROR($AJ67/($AD67/$AK67), "")</f>
        <v>0</v>
      </c>
      <c r="X67" s="41">
        <f t="shared" si="13"/>
        <v>0</v>
      </c>
      <c r="Y67" s="37" t="str">
        <f t="shared" ref="Y67:Y129" si="22">IFERROR((($N67+$AI67-$AU67)/($AM67+$AS67)), "")</f>
        <v/>
      </c>
      <c r="Z67" s="41">
        <f t="shared" si="14"/>
        <v>0</v>
      </c>
      <c r="AA67" s="39" t="str">
        <f t="shared" ref="AA67:AA129" si="23">IFERROR(($N67+$AP67+$AI67-$AU67)/($AP67+$AQ67), "")</f>
        <v/>
      </c>
      <c r="AB67" s="37" t="str">
        <f t="shared" ref="AB67:AB129" si="24">IFERROR($P67/$AR67, "")</f>
        <v/>
      </c>
      <c r="AC67" s="37" t="str">
        <f t="shared" ref="AC67:AC129" si="25">IFERROR($AS67/($AS67+$AT67), "")</f>
        <v/>
      </c>
      <c r="AD67" s="38">
        <f>IFERROR(INDEX('Prior YTD Data Pull'!$A$2:$CB$605,MATCH('Prior YTD Data Table'!$C67,'Prior YTD Data Pull'!$A$2:$A$605,0),MATCH("Net Patient Service Revenue",'Prior YTD Data Pull'!$A$1:$CB$1,0)),"")</f>
        <v>31362518</v>
      </c>
      <c r="AE67" s="38">
        <f>IFERROR(INDEX('Prior YTD Data Pull'!$A$2:$CB$605,MATCH('Prior YTD Data Table'!$C67,'Prior YTD Data Pull'!$A$2:$A$605,0),MATCH("Total Current Assets",'Prior YTD Data Pull'!$A$1:$CB$1,0)),"")</f>
        <v>0</v>
      </c>
      <c r="AF67" s="38">
        <f>IFERROR(INDEX('Prior YTD Data Pull'!$A$2:$CB$605,MATCH('Prior YTD Data Table'!$C67,'Prior YTD Data Pull'!$A$2:$A$605,0),MATCH("Total Current Liabilities",'Prior YTD Data Pull'!$A$1:$CB$1,0)),"")</f>
        <v>0</v>
      </c>
      <c r="AG67" s="38">
        <f>IFERROR(INDEX('Prior YTD Data Pull'!$A$2:$CB$605,MATCH('Prior YTD Data Table'!$C67,'Prior YTD Data Pull'!$A$2:$A$605,0),MATCH("Total Non Operating Revenue",'Prior YTD Data Pull'!$A$1:$CB$1,0)),"")</f>
        <v>0</v>
      </c>
      <c r="AH67" s="38">
        <f>IFERROR(INDEX('Prior YTD Data Pull'!$A$2:$CB$605,MATCH('Prior YTD Data Table'!$C67,'Prior Year Data Pull'!$A$2:$A$593,0),MATCH("Less Accumulated Depreciation",'Prior YTD Data Pull'!$A$1:$CB$1,0)),"")</f>
        <v>0</v>
      </c>
      <c r="AI67" s="38">
        <f>IFERROR(INDEX('Prior YTD Data Pull'!$A$2:$CB$605,MATCH('Prior YTD Data Table'!$C67,'Prior YTD Data Pull'!$A$2:$A$605,0),MATCH("Depreciation and Amortization Expense",'Prior YTD Data Pull'!$A$1:$CB$1,0)),"")</f>
        <v>315169</v>
      </c>
      <c r="AJ67" s="38">
        <f>IFERROR(INDEX('Prior YTD Data Pull'!$A$2:$CB$605,MATCH('Prior YTD Data Table'!$C67,'Prior YTD Data Pull'!$A$2:$A$605,0),MATCH("Net Patient Accounts Receivable",'Prior YTD Data Pull'!$A$1:$CB$1,0)),"")</f>
        <v>0</v>
      </c>
      <c r="AK67" s="14" t="str">
        <f>IF('Prior YTD Data Pull'!$H67 = 6, "183", IF('Prior YTD Data Pull'!$H67 = 3, "93",""))</f>
        <v>183</v>
      </c>
      <c r="AL67" s="38">
        <f>IFERROR(INDEX('Prior YTD Data Pull'!$A$2:$CB$605,MATCH('Prior YTD Data Table'!$C67,'Prior YTD Data Pull'!$A$2:$A$605,0),MATCH("Estimated Third Party Settlements",'Prior YTD Data Pull'!$A$1:$CB$1,0)),"")</f>
        <v>0</v>
      </c>
      <c r="AM67" s="38">
        <f>IFERROR(INDEX('Prior YTD Data Pull'!$A$2:$CB$605,MATCH('Prior YTD Data Table'!$C67,'Prior YTD Data Pull'!$A$2:$A$605,0),MATCH("Current Liabilities due to Affiliates",'Prior YTD Data Pull'!$A$1:$CB$1,0)),"")</f>
        <v>0</v>
      </c>
      <c r="AN67" s="38">
        <f>IFERROR(INDEX('Prior YTD Data Pull'!$A$2:$CB$605,MATCH('Prior YTD Data Table'!$C67,'Prior YTD Data Pull'!$A$2:$A$605,0),MATCH("Short Term Investments",'Prior YTD Data Pull'!$A$1:$CB$1,0)),"")</f>
        <v>0</v>
      </c>
      <c r="AO67" s="38">
        <f>IFERROR(INDEX('Prior YTD Data Pull'!$A$2:$CB$605,MATCH('Prior YTD Data Table'!$C67,'Prior YTD Data Pull'!$A$2:$A$605,0),MATCH("Cash and Cash Equivalents",'Prior YTD Data Pull'!$A$1:$CB$1,0)),"")</f>
        <v>0</v>
      </c>
      <c r="AP67" s="38">
        <f>IFERROR(INDEX('Prior YTD Data Pull'!$A$2:$CB$605,MATCH('Prior YTD Data Table'!$C67,'Prior YTD Data Pull'!$A$2:$A$605,0),MATCH("Interest Expense",'Prior YTD Data Pull'!$A$1:$CB$1,0)),"")</f>
        <v>0</v>
      </c>
      <c r="AQ67" s="38">
        <f>IFERROR(INDEX('Prior YTD Data Pull'!$A$2:$CB$605,MATCH('Prior YTD Data Table'!$C67,'Prior YTD Data Pull'!$A$2:$A$605,0),MATCH("Long Term Debt Net of Current Portion",'Prior YTD Data Pull'!$A$1:$CB$1,0)),"")</f>
        <v>0</v>
      </c>
      <c r="AR67" s="38">
        <f>IFERROR(INDEX('Prior YTD Data Pull'!$A$2:$CB$605,MATCH('Prior YTD Data Table'!$C67,'Prior YTD Data Pull'!$A$2:$A$605,0),MATCH("Total Assets",'Prior YTD Data Pull'!$A$1:$CB$1,0)),"")</f>
        <v>0</v>
      </c>
      <c r="AS67" s="38">
        <f>IFERROR(INDEX('Prior YTD Data Pull'!$A$2:$CB$605,MATCH('Prior YTD Data Table'!$C67,'Prior YTD Data Pull'!$A$2:$A$605,0),MATCH("Long Term Debt Net of Current Portion",'Prior YTD Data Pull'!$A$1:$CB$1,0)),"")</f>
        <v>0</v>
      </c>
      <c r="AT67" s="38">
        <f>IFERROR(INDEX('Prior YTD Data Pull'!$A$2:$CB$605,MATCH('Prior YTD Data Table'!$C67,'Prior YTD Data Pull'!$A$2:$A$605,0),MATCH("Net Unrestricted Assets",'Prior YTD Data Pull'!$A$1:$CB$1,0)),"")</f>
        <v>0</v>
      </c>
      <c r="AU67" s="38">
        <f>IFERROR(INDEX('Prior YTD Data Pull'!$A$2:$CB$605,MATCH('Prior YTD Data Table'!$C67,'Prior YTD Data Pull'!$A$2:$A$605,0),MATCH("Unrealized Gains/Losses",'Prior YTD Data Pull'!$A$1:$CB$1,0)),"")</f>
        <v>0</v>
      </c>
      <c r="AV67" s="38">
        <f>IFERROR(INDEX('Prior YTD Data Pull'!$A$2:$CB$605,MATCH('Prior YTD Data Table'!$C67,'Prior YTD Data Pull'!$A$2:$A$605,0),MATCH("Salary and Benefit Expense",'Prior YTD Data Pull'!$A$1:$CB$1,0)),"")</f>
        <v>40457553</v>
      </c>
      <c r="AW67" s="47"/>
      <c r="AX67" s="47"/>
      <c r="AY67" s="47"/>
      <c r="AZ67" s="47"/>
    </row>
    <row r="68" spans="1:52" ht="34.200000000000003" x14ac:dyDescent="0.3">
      <c r="A68" s="14" t="str">
        <f>IFERROR(INDEX('Static Data Tab'!$N$2:$N$610,MATCH(D68,'Static Data Tab'!$D$2:$D$610,0)), "")</f>
        <v xml:space="preserve">Baystate Health </v>
      </c>
      <c r="B68" s="57" t="s">
        <v>82</v>
      </c>
      <c r="C68" s="57">
        <v>11490</v>
      </c>
      <c r="D68" s="57">
        <v>4066</v>
      </c>
      <c r="E68" s="14" t="str">
        <f>IFERROR(INDEX('Prior YTD Data Pull'!$A$1:$CB$605,MATCH('Prior YTD Data Table'!$C68,'Prior YTD Data Pull'!$A$1:$A$605,0),MATCH("Organization Type",'Prior YTD Data Pull'!$A$1:$CB$1,0)),"")</f>
        <v>PhysicianOrganization</v>
      </c>
      <c r="F68" s="14" t="str">
        <f>IFERROR(INDEX('Static Data Tab'!$E$2:$E$610,MATCH('Prior YTD Data Table'!$C68,'Static Data Tab'!$B$2:$B$610,0)), "-")</f>
        <v>-</v>
      </c>
      <c r="G68" s="46" t="str">
        <f>IFERROR(INDEX('Static Data Tab'!$J$2:$J$610,MATCH('Prior YTD Data Table'!$C68,'Static Data Tab'!$B$2:$B$610,0)), "")</f>
        <v/>
      </c>
      <c r="H68" s="14" t="str">
        <f>IFERROR(INDEX('Static Data Tab'!$F$2:$F$610,MATCH('Prior YTD Data Table'!$C68,'Static Data Tab'!$B$2:$B$610,0)), "")</f>
        <v/>
      </c>
      <c r="I68" s="14" t="str">
        <f>IFERROR(INDEX('Static Data Tab'!$G$2:$G$610,MATCH('Prior YTD Data Table'!$C68,'Static Data Tab'!$B$2:$B$610,0)), "")</f>
        <v/>
      </c>
      <c r="J68" s="14" t="str">
        <f>IFERROR(INDEX('Prior YTD Data Pull'!$A$2:$CB$605,MATCH('Prior YTD Data Table'!$C68,'Prior YTD Data Pull'!$A$2:$A$605,0),MATCH("Quarter Range",'Prior YTD Data Pull'!$A$1:$CB$1,0)),"")</f>
        <v xml:space="preserve">10/01/2024-03/31/2025
</v>
      </c>
      <c r="K68" s="37">
        <f t="shared" si="15"/>
        <v>-0.21696965643510138</v>
      </c>
      <c r="L68" s="37">
        <f t="shared" si="16"/>
        <v>-3.7621171523281233E-5</v>
      </c>
      <c r="M68" s="37">
        <f t="shared" si="17"/>
        <v>-0.21700727760662467</v>
      </c>
      <c r="N68" s="38">
        <f t="shared" si="18"/>
        <v>-51914000</v>
      </c>
      <c r="O68" s="39" t="str">
        <f t="shared" si="19"/>
        <v/>
      </c>
      <c r="P68" s="38">
        <f>IFERROR(INDEX('Prior YTD Data Pull'!$A$2:$CB$605,MATCH('Prior YTD Data Table'!$C68,'Prior YTD Data Pull'!$A$2:$A$605,0),MATCH("Total Net Assets or Equity",'Prior YTD Data Pull'!$A$1:$CB$1,0)),"")</f>
        <v>0</v>
      </c>
      <c r="Q68" s="38">
        <f>IFERROR(INDEX('Prior YTD Data Pull'!$A$2:$CB$605,MATCH('Prior YTD Data Table'!$C68,'Prior YTD Data Pull'!$A$2:$A$605,0),MATCH("Total Operating Revenue",'Prior YTD Data Pull'!$A$1:$CB$1,0)),"")</f>
        <v>239236000</v>
      </c>
      <c r="R68" s="38">
        <f>IFERROR(INDEX('Prior YTD Data Pull'!$A$2:$CB$605,MATCH('Prior YTD Data Table'!$C68,'Prior YTD Data Pull'!$A$2:$A$605,0),MATCH("Total Unrestricted Revenue Gains and Other Support",'Prior YTD Data Pull'!$A$1:$CB$1,0)),"")</f>
        <v>239227000</v>
      </c>
      <c r="S68" s="38" t="str">
        <f>IFERROR(INDEX('Prior YTD TS Data Pull'!$J$2:$J$128,MATCH('Prior YTD Data Table'!$C68, 'Prior YTD TS Data Pull'!$A$2:$A$128,0))+INDEX('Prior YTD TS Data Pull'!$N$2:$N$128,MATCH('Prior YTD Data Table'!$C68,'Prior YTD TS Data Pull'!$A$2:$A$609,0))+INDEX('Prior YTD TS Data Pull'!$R$2:$R$128,MATCH('Prior YTD Data Table'!$C68,'Prior YTD TS Data Pull'!$A$2:$A$609,0)),"")</f>
        <v/>
      </c>
      <c r="T68" s="38">
        <f>IF(INDEX('Prior YTD TS Data Pull'!$A$1:$O$609,MATCH('Prior YTD Data Table'!$C68,'Prior YTD TS Data Pull'!$A$1:$A$609,0),MATCH("Temporary RN Staffing:
Line Reported on in Standardized Financials",'Prior YTD TS Data Pull'!$A$1:$O$1,0))="66.1: Salary and Benefit Expense",'Prior YTD Data Table'!$AV68-'Prior YTD Data Table'!$S68,0)</f>
        <v>0</v>
      </c>
      <c r="U68" s="38">
        <f>IFERROR(INDEX('Prior YTD Data Pull'!$A$2:$CB$605,MATCH('Prior YTD Data Table'!$C68,'Prior YTD Data Pull'!$A$2:$A$605,0),MATCH("Total Expenses Including Nonrecurring Gains Losses",'Prior YTD Data Pull'!$A$1:$CB$1,0)),"")</f>
        <v>291141000</v>
      </c>
      <c r="V68" s="41">
        <f t="shared" si="20"/>
        <v>0</v>
      </c>
      <c r="W68" s="41">
        <f t="shared" si="21"/>
        <v>0</v>
      </c>
      <c r="X68" s="41">
        <f t="shared" si="13"/>
        <v>0</v>
      </c>
      <c r="Y68" s="37" t="str">
        <f t="shared" si="22"/>
        <v/>
      </c>
      <c r="Z68" s="41">
        <f t="shared" si="14"/>
        <v>0</v>
      </c>
      <c r="AA68" s="39" t="str">
        <f t="shared" si="23"/>
        <v/>
      </c>
      <c r="AB68" s="37" t="str">
        <f t="shared" si="24"/>
        <v/>
      </c>
      <c r="AC68" s="37" t="str">
        <f t="shared" si="25"/>
        <v/>
      </c>
      <c r="AD68" s="38">
        <f>IFERROR(INDEX('Prior YTD Data Pull'!$A$2:$CB$605,MATCH('Prior YTD Data Table'!$C68,'Prior YTD Data Pull'!$A$2:$A$605,0),MATCH("Net Patient Service Revenue",'Prior YTD Data Pull'!$A$1:$CB$1,0)),"")</f>
        <v>120855000</v>
      </c>
      <c r="AE68" s="38">
        <f>IFERROR(INDEX('Prior YTD Data Pull'!$A$2:$CB$605,MATCH('Prior YTD Data Table'!$C68,'Prior YTD Data Pull'!$A$2:$A$605,0),MATCH("Total Current Assets",'Prior YTD Data Pull'!$A$1:$CB$1,0)),"")</f>
        <v>0</v>
      </c>
      <c r="AF68" s="38">
        <f>IFERROR(INDEX('Prior YTD Data Pull'!$A$2:$CB$605,MATCH('Prior YTD Data Table'!$C68,'Prior YTD Data Pull'!$A$2:$A$605,0),MATCH("Total Current Liabilities",'Prior YTD Data Pull'!$A$1:$CB$1,0)),"")</f>
        <v>0</v>
      </c>
      <c r="AG68" s="38">
        <f>IFERROR(INDEX('Prior YTD Data Pull'!$A$2:$CB$605,MATCH('Prior YTD Data Table'!$C68,'Prior YTD Data Pull'!$A$2:$A$605,0),MATCH("Total Non Operating Revenue",'Prior YTD Data Pull'!$A$1:$CB$1,0)),"")</f>
        <v>-9000</v>
      </c>
      <c r="AH68" s="38">
        <f>IFERROR(INDEX('Prior YTD Data Pull'!$A$2:$CB$605,MATCH('Prior YTD Data Table'!$C68,'Prior Year Data Pull'!$A$2:$A$593,0),MATCH("Less Accumulated Depreciation",'Prior YTD Data Pull'!$A$1:$CB$1,0)),"")</f>
        <v>0</v>
      </c>
      <c r="AI68" s="38">
        <f>IFERROR(INDEX('Prior YTD Data Pull'!$A$2:$CB$605,MATCH('Prior YTD Data Table'!$C68,'Prior YTD Data Pull'!$A$2:$A$605,0),MATCH("Depreciation and Amortization Expense",'Prior YTD Data Pull'!$A$1:$CB$1,0)),"")</f>
        <v>755000</v>
      </c>
      <c r="AJ68" s="38">
        <f>IFERROR(INDEX('Prior YTD Data Pull'!$A$2:$CB$605,MATCH('Prior YTD Data Table'!$C68,'Prior YTD Data Pull'!$A$2:$A$605,0),MATCH("Net Patient Accounts Receivable",'Prior YTD Data Pull'!$A$1:$CB$1,0)),"")</f>
        <v>0</v>
      </c>
      <c r="AK68" s="14" t="str">
        <f>IF('Prior YTD Data Pull'!$H68 = 6, "183", IF('Prior YTD Data Pull'!$H68 = 3, "93",""))</f>
        <v>183</v>
      </c>
      <c r="AL68" s="38">
        <f>IFERROR(INDEX('Prior YTD Data Pull'!$A$2:$CB$605,MATCH('Prior YTD Data Table'!$C68,'Prior YTD Data Pull'!$A$2:$A$605,0),MATCH("Estimated Third Party Settlements",'Prior YTD Data Pull'!$A$1:$CB$1,0)),"")</f>
        <v>0</v>
      </c>
      <c r="AM68" s="38">
        <f>IFERROR(INDEX('Prior YTD Data Pull'!$A$2:$CB$605,MATCH('Prior YTD Data Table'!$C68,'Prior YTD Data Pull'!$A$2:$A$605,0),MATCH("Current Liabilities due to Affiliates",'Prior YTD Data Pull'!$A$1:$CB$1,0)),"")</f>
        <v>0</v>
      </c>
      <c r="AN68" s="38">
        <f>IFERROR(INDEX('Prior YTD Data Pull'!$A$2:$CB$605,MATCH('Prior YTD Data Table'!$C68,'Prior YTD Data Pull'!$A$2:$A$605,0),MATCH("Short Term Investments",'Prior YTD Data Pull'!$A$1:$CB$1,0)),"")</f>
        <v>0</v>
      </c>
      <c r="AO68" s="38">
        <f>IFERROR(INDEX('Prior YTD Data Pull'!$A$2:$CB$605,MATCH('Prior YTD Data Table'!$C68,'Prior YTD Data Pull'!$A$2:$A$605,0),MATCH("Cash and Cash Equivalents",'Prior YTD Data Pull'!$A$1:$CB$1,0)),"")</f>
        <v>0</v>
      </c>
      <c r="AP68" s="38">
        <f>IFERROR(INDEX('Prior YTD Data Pull'!$A$2:$CB$605,MATCH('Prior YTD Data Table'!$C68,'Prior YTD Data Pull'!$A$2:$A$605,0),MATCH("Interest Expense",'Prior YTD Data Pull'!$A$1:$CB$1,0)),"")</f>
        <v>0</v>
      </c>
      <c r="AQ68" s="38">
        <f>IFERROR(INDEX('Prior YTD Data Pull'!$A$2:$CB$605,MATCH('Prior YTD Data Table'!$C68,'Prior YTD Data Pull'!$A$2:$A$605,0),MATCH("Long Term Debt Net of Current Portion",'Prior YTD Data Pull'!$A$1:$CB$1,0)),"")</f>
        <v>0</v>
      </c>
      <c r="AR68" s="38">
        <f>IFERROR(INDEX('Prior YTD Data Pull'!$A$2:$CB$605,MATCH('Prior YTD Data Table'!$C68,'Prior YTD Data Pull'!$A$2:$A$605,0),MATCH("Total Assets",'Prior YTD Data Pull'!$A$1:$CB$1,0)),"")</f>
        <v>0</v>
      </c>
      <c r="AS68" s="38">
        <f>IFERROR(INDEX('Prior YTD Data Pull'!$A$2:$CB$605,MATCH('Prior YTD Data Table'!$C68,'Prior YTD Data Pull'!$A$2:$A$605,0),MATCH("Long Term Debt Net of Current Portion",'Prior YTD Data Pull'!$A$1:$CB$1,0)),"")</f>
        <v>0</v>
      </c>
      <c r="AT68" s="38">
        <f>IFERROR(INDEX('Prior YTD Data Pull'!$A$2:$CB$605,MATCH('Prior YTD Data Table'!$C68,'Prior YTD Data Pull'!$A$2:$A$605,0),MATCH("Net Unrestricted Assets",'Prior YTD Data Pull'!$A$1:$CB$1,0)),"")</f>
        <v>0</v>
      </c>
      <c r="AU68" s="38">
        <f>IFERROR(INDEX('Prior YTD Data Pull'!$A$2:$CB$605,MATCH('Prior YTD Data Table'!$C68,'Prior YTD Data Pull'!$A$2:$A$605,0),MATCH("Unrealized Gains/Losses",'Prior YTD Data Pull'!$A$1:$CB$1,0)),"")</f>
        <v>0</v>
      </c>
      <c r="AV68" s="38">
        <f>IFERROR(INDEX('Prior YTD Data Pull'!$A$2:$CB$605,MATCH('Prior YTD Data Table'!$C68,'Prior YTD Data Pull'!$A$2:$A$605,0),MATCH("Salary and Benefit Expense",'Prior YTD Data Pull'!$A$1:$CB$1,0)),"")</f>
        <v>225948000</v>
      </c>
      <c r="AW68" s="38"/>
      <c r="AX68" s="38"/>
      <c r="AY68" s="38"/>
      <c r="AZ68" s="38"/>
    </row>
    <row r="69" spans="1:52" ht="34.200000000000003" x14ac:dyDescent="0.3">
      <c r="A69" s="14" t="str">
        <f>IFERROR(INDEX('Static Data Tab'!$N$2:$N$610,MATCH(D69,'Static Data Tab'!$D$2:$D$610,0)), "")</f>
        <v>South Coast Health System</v>
      </c>
      <c r="B69" s="14" t="s">
        <v>172</v>
      </c>
      <c r="C69" s="14">
        <v>11497</v>
      </c>
      <c r="D69" s="14">
        <v>4027</v>
      </c>
      <c r="E69" s="14" t="str">
        <f>IFERROR(INDEX('Prior YTD Data Pull'!$A$1:$CB$605,MATCH('Prior YTD Data Table'!$C69,'Prior YTD Data Pull'!$A$1:$A$605,0),MATCH("Organization Type",'Prior YTD Data Pull'!$A$1:$CB$1,0)),"")</f>
        <v>PhysicianOrganization</v>
      </c>
      <c r="F69" s="14" t="str">
        <f>IFERROR(INDEX('Static Data Tab'!$E$2:$E$610,MATCH('Prior YTD Data Table'!$C69,'Static Data Tab'!$B$2:$B$610,0)), "-")</f>
        <v>-</v>
      </c>
      <c r="G69" s="46" t="str">
        <f>IFERROR(INDEX('Static Data Tab'!$J$2:$J$610,MATCH('Prior YTD Data Table'!$C69,'Static Data Tab'!$B$2:$B$610,0)), "")</f>
        <v/>
      </c>
      <c r="H69" s="14" t="str">
        <f>IFERROR(INDEX('Static Data Tab'!$F$2:$F$610,MATCH('Prior YTD Data Table'!$C69,'Static Data Tab'!$B$2:$B$610,0)), "")</f>
        <v/>
      </c>
      <c r="I69" s="14" t="str">
        <f>IFERROR(INDEX('Static Data Tab'!$G$2:$G$610,MATCH('Prior YTD Data Table'!$C69,'Static Data Tab'!$B$2:$B$610,0)), "")</f>
        <v/>
      </c>
      <c r="J69" s="14" t="str">
        <f>IFERROR(INDEX('Prior YTD Data Pull'!$A$2:$CB$605,MATCH('Prior YTD Data Table'!$C69,'Prior YTD Data Pull'!$A$2:$A$605,0),MATCH("Quarter Range",'Prior YTD Data Pull'!$A$1:$CB$1,0)),"")</f>
        <v xml:space="preserve">10/01/2024-03/31/2025
</v>
      </c>
      <c r="K69" s="37">
        <f t="shared" si="15"/>
        <v>-0.22895802680989347</v>
      </c>
      <c r="L69" s="37">
        <f t="shared" si="16"/>
        <v>0</v>
      </c>
      <c r="M69" s="37">
        <f t="shared" si="17"/>
        <v>-0.22895802680989347</v>
      </c>
      <c r="N69" s="38">
        <f t="shared" si="18"/>
        <v>-38224501.51000002</v>
      </c>
      <c r="O69" s="39" t="str">
        <f t="shared" si="19"/>
        <v/>
      </c>
      <c r="P69" s="38">
        <f>IFERROR(INDEX('Prior YTD Data Pull'!$A$2:$CB$605,MATCH('Prior YTD Data Table'!$C69,'Prior YTD Data Pull'!$A$2:$A$605,0),MATCH("Total Net Assets or Equity",'Prior YTD Data Pull'!$A$1:$CB$1,0)),"")</f>
        <v>0</v>
      </c>
      <c r="Q69" s="38">
        <f>IFERROR(INDEX('Prior YTD Data Pull'!$A$2:$CB$605,MATCH('Prior YTD Data Table'!$C69,'Prior YTD Data Pull'!$A$2:$A$605,0),MATCH("Total Operating Revenue",'Prior YTD Data Pull'!$A$1:$CB$1,0)),"")</f>
        <v>166949820.63999999</v>
      </c>
      <c r="R69" s="38">
        <f>IFERROR(INDEX('Prior YTD Data Pull'!$A$2:$CB$605,MATCH('Prior YTD Data Table'!$C69,'Prior YTD Data Pull'!$A$2:$A$605,0),MATCH("Total Unrestricted Revenue Gains and Other Support",'Prior YTD Data Pull'!$A$1:$CB$1,0)),"")</f>
        <v>166949820.63999999</v>
      </c>
      <c r="S69" s="38">
        <f>IFERROR(INDEX('Prior YTD TS Data Pull'!$J$2:$J$128,MATCH('Prior YTD Data Table'!$C69, 'Prior YTD TS Data Pull'!$A$2:$A$128,0))+INDEX('Prior YTD TS Data Pull'!$N$2:$N$128,MATCH('Prior YTD Data Table'!$C69,'Prior YTD TS Data Pull'!$A$2:$A$609,0))+INDEX('Prior YTD TS Data Pull'!$R$2:$R$128,MATCH('Prior YTD Data Table'!$C69,'Prior YTD TS Data Pull'!$A$2:$A$609,0)),"")</f>
        <v>3321384.02</v>
      </c>
      <c r="T69" s="38">
        <f>IF(INDEX('Prior YTD TS Data Pull'!$A$1:$O$609,MATCH('Prior YTD Data Table'!$C69,'Prior YTD TS Data Pull'!$A$1:$A$609,0),MATCH("Temporary RN Staffing:
Line Reported on in Standardized Financials",'Prior YTD TS Data Pull'!$A$1:$O$1,0))="66.1: Salary and Benefit Expense",'Prior YTD Data Table'!$AV69-'Prior YTD Data Table'!$S69,0)</f>
        <v>167838062.57999998</v>
      </c>
      <c r="U69" s="38">
        <f>IFERROR(INDEX('Prior YTD Data Pull'!$A$2:$CB$605,MATCH('Prior YTD Data Table'!$C69,'Prior YTD Data Pull'!$A$2:$A$605,0),MATCH("Total Expenses Including Nonrecurring Gains Losses",'Prior YTD Data Pull'!$A$1:$CB$1,0)),"")</f>
        <v>205174322.15000001</v>
      </c>
      <c r="V69" s="41">
        <f t="shared" si="20"/>
        <v>0</v>
      </c>
      <c r="W69" s="41">
        <f t="shared" si="21"/>
        <v>0</v>
      </c>
      <c r="X69" s="41">
        <f t="shared" si="13"/>
        <v>0</v>
      </c>
      <c r="Y69" s="37" t="str">
        <f t="shared" si="22"/>
        <v/>
      </c>
      <c r="Z69" s="41">
        <f t="shared" si="14"/>
        <v>0</v>
      </c>
      <c r="AA69" s="39" t="str">
        <f t="shared" si="23"/>
        <v/>
      </c>
      <c r="AB69" s="37" t="str">
        <f t="shared" si="24"/>
        <v/>
      </c>
      <c r="AC69" s="37" t="str">
        <f t="shared" si="25"/>
        <v/>
      </c>
      <c r="AD69" s="38">
        <f>IFERROR(INDEX('Prior YTD Data Pull'!$A$2:$CB$605,MATCH('Prior YTD Data Table'!$C69,'Prior YTD Data Pull'!$A$2:$A$605,0),MATCH("Net Patient Service Revenue",'Prior YTD Data Pull'!$A$1:$CB$1,0)),"")</f>
        <v>124557248.43000001</v>
      </c>
      <c r="AE69" s="38">
        <f>IFERROR(INDEX('Prior YTD Data Pull'!$A$2:$CB$605,MATCH('Prior YTD Data Table'!$C69,'Prior YTD Data Pull'!$A$2:$A$605,0),MATCH("Total Current Assets",'Prior YTD Data Pull'!$A$1:$CB$1,0)),"")</f>
        <v>0</v>
      </c>
      <c r="AF69" s="38">
        <f>IFERROR(INDEX('Prior YTD Data Pull'!$A$2:$CB$605,MATCH('Prior YTD Data Table'!$C69,'Prior YTD Data Pull'!$A$2:$A$605,0),MATCH("Total Current Liabilities",'Prior YTD Data Pull'!$A$1:$CB$1,0)),"")</f>
        <v>0</v>
      </c>
      <c r="AG69" s="38">
        <f>IFERROR(INDEX('Prior YTD Data Pull'!$A$2:$CB$605,MATCH('Prior YTD Data Table'!$C69,'Prior YTD Data Pull'!$A$2:$A$605,0),MATCH("Total Non Operating Revenue",'Prior YTD Data Pull'!$A$1:$CB$1,0)),"")</f>
        <v>0</v>
      </c>
      <c r="AH69" s="38">
        <f>IFERROR(INDEX('Prior YTD Data Pull'!$A$2:$CB$605,MATCH('Prior YTD Data Table'!$C69,'Prior Year Data Pull'!$A$2:$A$593,0),MATCH("Less Accumulated Depreciation",'Prior YTD Data Pull'!$A$1:$CB$1,0)),"")</f>
        <v>0</v>
      </c>
      <c r="AI69" s="38">
        <f>IFERROR(INDEX('Prior YTD Data Pull'!$A$2:$CB$605,MATCH('Prior YTD Data Table'!$C69,'Prior YTD Data Pull'!$A$2:$A$605,0),MATCH("Depreciation and Amortization Expense",'Prior YTD Data Pull'!$A$1:$CB$1,0)),"")</f>
        <v>1570939.83</v>
      </c>
      <c r="AJ69" s="38">
        <f>IFERROR(INDEX('Prior YTD Data Pull'!$A$2:$CB$605,MATCH('Prior YTD Data Table'!$C69,'Prior YTD Data Pull'!$A$2:$A$605,0),MATCH("Net Patient Accounts Receivable",'Prior YTD Data Pull'!$A$1:$CB$1,0)),"")</f>
        <v>0</v>
      </c>
      <c r="AK69" s="14" t="str">
        <f>IF('Prior YTD Data Pull'!$H69 = 6, "183", IF('Prior YTD Data Pull'!$H69 = 3, "93",""))</f>
        <v>183</v>
      </c>
      <c r="AL69" s="38">
        <f>IFERROR(INDEX('Prior YTD Data Pull'!$A$2:$CB$605,MATCH('Prior YTD Data Table'!$C69,'Prior YTD Data Pull'!$A$2:$A$605,0),MATCH("Estimated Third Party Settlements",'Prior YTD Data Pull'!$A$1:$CB$1,0)),"")</f>
        <v>0</v>
      </c>
      <c r="AM69" s="38">
        <f>IFERROR(INDEX('Prior YTD Data Pull'!$A$2:$CB$605,MATCH('Prior YTD Data Table'!$C69,'Prior YTD Data Pull'!$A$2:$A$605,0),MATCH("Current Liabilities due to Affiliates",'Prior YTD Data Pull'!$A$1:$CB$1,0)),"")</f>
        <v>0</v>
      </c>
      <c r="AN69" s="38">
        <f>IFERROR(INDEX('Prior YTD Data Pull'!$A$2:$CB$605,MATCH('Prior YTD Data Table'!$C69,'Prior YTD Data Pull'!$A$2:$A$605,0),MATCH("Short Term Investments",'Prior YTD Data Pull'!$A$1:$CB$1,0)),"")</f>
        <v>0</v>
      </c>
      <c r="AO69" s="38">
        <f>IFERROR(INDEX('Prior YTD Data Pull'!$A$2:$CB$605,MATCH('Prior YTD Data Table'!$C69,'Prior YTD Data Pull'!$A$2:$A$605,0),MATCH("Cash and Cash Equivalents",'Prior YTD Data Pull'!$A$1:$CB$1,0)),"")</f>
        <v>0</v>
      </c>
      <c r="AP69" s="38">
        <f>IFERROR(INDEX('Prior YTD Data Pull'!$A$2:$CB$605,MATCH('Prior YTD Data Table'!$C69,'Prior YTD Data Pull'!$A$2:$A$605,0),MATCH("Interest Expense",'Prior YTD Data Pull'!$A$1:$CB$1,0)),"")</f>
        <v>0</v>
      </c>
      <c r="AQ69" s="38">
        <f>IFERROR(INDEX('Prior YTD Data Pull'!$A$2:$CB$605,MATCH('Prior YTD Data Table'!$C69,'Prior YTD Data Pull'!$A$2:$A$605,0),MATCH("Long Term Debt Net of Current Portion",'Prior YTD Data Pull'!$A$1:$CB$1,0)),"")</f>
        <v>0</v>
      </c>
      <c r="AR69" s="38">
        <f>IFERROR(INDEX('Prior YTD Data Pull'!$A$2:$CB$605,MATCH('Prior YTD Data Table'!$C69,'Prior YTD Data Pull'!$A$2:$A$605,0),MATCH("Total Assets",'Prior YTD Data Pull'!$A$1:$CB$1,0)),"")</f>
        <v>0</v>
      </c>
      <c r="AS69" s="38">
        <f>IFERROR(INDEX('Prior YTD Data Pull'!$A$2:$CB$605,MATCH('Prior YTD Data Table'!$C69,'Prior YTD Data Pull'!$A$2:$A$605,0),MATCH("Long Term Debt Net of Current Portion",'Prior YTD Data Pull'!$A$1:$CB$1,0)),"")</f>
        <v>0</v>
      </c>
      <c r="AT69" s="38">
        <f>IFERROR(INDEX('Prior YTD Data Pull'!$A$2:$CB$605,MATCH('Prior YTD Data Table'!$C69,'Prior YTD Data Pull'!$A$2:$A$605,0),MATCH("Net Unrestricted Assets",'Prior YTD Data Pull'!$A$1:$CB$1,0)),"")</f>
        <v>0</v>
      </c>
      <c r="AU69" s="38">
        <f>IFERROR(INDEX('Prior YTD Data Pull'!$A$2:$CB$605,MATCH('Prior YTD Data Table'!$C69,'Prior YTD Data Pull'!$A$2:$A$605,0),MATCH("Unrealized Gains/Losses",'Prior YTD Data Pull'!$A$1:$CB$1,0)),"")</f>
        <v>0</v>
      </c>
      <c r="AV69" s="38">
        <f>IFERROR(INDEX('Prior YTD Data Pull'!$A$2:$CB$605,MATCH('Prior YTD Data Table'!$C69,'Prior YTD Data Pull'!$A$2:$A$605,0),MATCH("Salary and Benefit Expense",'Prior YTD Data Pull'!$A$1:$CB$1,0)),"")</f>
        <v>171159446.59999999</v>
      </c>
      <c r="AW69" s="47"/>
      <c r="AX69" s="47"/>
      <c r="AY69" s="47"/>
      <c r="AZ69" s="47"/>
    </row>
    <row r="70" spans="1:52" ht="34.200000000000003" x14ac:dyDescent="0.3">
      <c r="A70" s="14" t="str">
        <f>IFERROR(INDEX('Static Data Tab'!$N$2:$N$610,MATCH(D70,'Static Data Tab'!$D$2:$D$610,0)), "")</f>
        <v>South Shore Health System</v>
      </c>
      <c r="B70" s="57" t="s">
        <v>169</v>
      </c>
      <c r="C70" s="57">
        <v>13120</v>
      </c>
      <c r="D70" s="57">
        <v>12759</v>
      </c>
      <c r="E70" s="14" t="str">
        <f>IFERROR(INDEX('Prior YTD Data Pull'!$A$1:$CB$605,MATCH('Prior YTD Data Table'!$C70,'Prior YTD Data Pull'!$A$1:$A$605,0),MATCH("Organization Type",'Prior YTD Data Pull'!$A$1:$CB$1,0)),"")</f>
        <v>PhysicianOrganization</v>
      </c>
      <c r="F70" s="14" t="str">
        <f>IFERROR(INDEX('Static Data Tab'!$E$2:$E$610,MATCH('Prior YTD Data Table'!$C70,'Static Data Tab'!$B$2:$B$610,0)), "-")</f>
        <v>-</v>
      </c>
      <c r="G70" s="46" t="str">
        <f>IFERROR(INDEX('Static Data Tab'!$J$2:$J$610,MATCH('Prior YTD Data Table'!$C70,'Static Data Tab'!$B$2:$B$610,0)), "")</f>
        <v/>
      </c>
      <c r="H70" s="14" t="str">
        <f>IFERROR(INDEX('Static Data Tab'!$F$2:$F$610,MATCH('Prior YTD Data Table'!$C70,'Static Data Tab'!$B$2:$B$610,0)), "")</f>
        <v/>
      </c>
      <c r="I70" s="14" t="str">
        <f>IFERROR(INDEX('Static Data Tab'!$G$2:$G$610,MATCH('Prior YTD Data Table'!$C70,'Static Data Tab'!$B$2:$B$610,0)), "")</f>
        <v/>
      </c>
      <c r="J70" s="14" t="str">
        <f>IFERROR(INDEX('Prior YTD Data Pull'!$A$2:$CB$605,MATCH('Prior YTD Data Table'!$C70,'Prior YTD Data Pull'!$A$2:$A$605,0),MATCH("Quarter Range",'Prior YTD Data Pull'!$A$1:$CB$1,0)),"")</f>
        <v xml:space="preserve">10/01/2024-03/31/2025
</v>
      </c>
      <c r="K70" s="37">
        <f t="shared" si="15"/>
        <v>-0.13808474747009628</v>
      </c>
      <c r="L70" s="37">
        <f t="shared" si="16"/>
        <v>-6.3421451976834473E-5</v>
      </c>
      <c r="M70" s="37">
        <f t="shared" si="17"/>
        <v>-0.1381481689220731</v>
      </c>
      <c r="N70" s="38">
        <f t="shared" si="18"/>
        <v>-7593401</v>
      </c>
      <c r="O70" s="39" t="str">
        <f t="shared" si="19"/>
        <v/>
      </c>
      <c r="P70" s="38">
        <f>IFERROR(INDEX('Prior YTD Data Pull'!$A$2:$CB$605,MATCH('Prior YTD Data Table'!$C70,'Prior YTD Data Pull'!$A$2:$A$605,0),MATCH("Total Net Assets or Equity",'Prior YTD Data Pull'!$A$1:$CB$1,0)),"")</f>
        <v>0</v>
      </c>
      <c r="Q70" s="38">
        <f>IFERROR(INDEX('Prior YTD Data Pull'!$A$2:$CB$605,MATCH('Prior YTD Data Table'!$C70,'Prior YTD Data Pull'!$A$2:$A$605,0),MATCH("Total Operating Revenue",'Prior YTD Data Pull'!$A$1:$CB$1,0)),"")</f>
        <v>54969115</v>
      </c>
      <c r="R70" s="38">
        <f>IFERROR(INDEX('Prior YTD Data Pull'!$A$2:$CB$605,MATCH('Prior YTD Data Table'!$C70,'Prior YTD Data Pull'!$A$2:$A$605,0),MATCH("Total Unrestricted Revenue Gains and Other Support",'Prior YTD Data Pull'!$A$1:$CB$1,0)),"")</f>
        <v>54965629</v>
      </c>
      <c r="S70" s="38">
        <f>IFERROR(INDEX('Prior YTD TS Data Pull'!$J$2:$J$128,MATCH('Prior YTD Data Table'!$C70, 'Prior YTD TS Data Pull'!$A$2:$A$128,0))+INDEX('Prior YTD TS Data Pull'!$N$2:$N$128,MATCH('Prior YTD Data Table'!$C70,'Prior YTD TS Data Pull'!$A$2:$A$609,0))+INDEX('Prior YTD TS Data Pull'!$R$2:$R$128,MATCH('Prior YTD Data Table'!$C70,'Prior YTD TS Data Pull'!$A$2:$A$609,0)),"")</f>
        <v>36059.620000000003</v>
      </c>
      <c r="T70" s="38">
        <f>IF(INDEX('Prior YTD TS Data Pull'!$A$1:$O$609,MATCH('Prior YTD Data Table'!$C70,'Prior YTD TS Data Pull'!$A$1:$A$609,0),MATCH("Temporary RN Staffing:
Line Reported on in Standardized Financials",'Prior YTD TS Data Pull'!$A$1:$O$1,0))="66.1: Salary and Benefit Expense",'Prior YTD Data Table'!$AV70-'Prior YTD Data Table'!$S70,0)</f>
        <v>0</v>
      </c>
      <c r="U70" s="38">
        <f>IFERROR(INDEX('Prior YTD Data Pull'!$A$2:$CB$605,MATCH('Prior YTD Data Table'!$C70,'Prior YTD Data Pull'!$A$2:$A$605,0),MATCH("Total Expenses Including Nonrecurring Gains Losses",'Prior YTD Data Pull'!$A$1:$CB$1,0)),"")</f>
        <v>62559030</v>
      </c>
      <c r="V70" s="41">
        <f t="shared" si="20"/>
        <v>140.23444994594766</v>
      </c>
      <c r="W70" s="41">
        <f t="shared" si="21"/>
        <v>0</v>
      </c>
      <c r="X70" s="41">
        <f t="shared" si="13"/>
        <v>0</v>
      </c>
      <c r="Y70" s="37" t="str">
        <f t="shared" si="22"/>
        <v/>
      </c>
      <c r="Z70" s="41">
        <f t="shared" si="14"/>
        <v>0</v>
      </c>
      <c r="AA70" s="39">
        <f t="shared" si="23"/>
        <v>-6.7649967992067808</v>
      </c>
      <c r="AB70" s="37" t="str">
        <f t="shared" si="24"/>
        <v/>
      </c>
      <c r="AC70" s="37" t="str">
        <f t="shared" si="25"/>
        <v/>
      </c>
      <c r="AD70" s="38">
        <f>IFERROR(INDEX('Prior YTD Data Pull'!$A$2:$CB$605,MATCH('Prior YTD Data Table'!$C70,'Prior YTD Data Pull'!$A$2:$A$605,0),MATCH("Net Patient Service Revenue",'Prior YTD Data Pull'!$A$1:$CB$1,0)),"")</f>
        <v>49684702</v>
      </c>
      <c r="AE70" s="38">
        <f>IFERROR(INDEX('Prior YTD Data Pull'!$A$2:$CB$605,MATCH('Prior YTD Data Table'!$C70,'Prior YTD Data Pull'!$A$2:$A$605,0),MATCH("Total Current Assets",'Prior YTD Data Pull'!$A$1:$CB$1,0)),"")</f>
        <v>0</v>
      </c>
      <c r="AF70" s="38">
        <f>IFERROR(INDEX('Prior YTD Data Pull'!$A$2:$CB$605,MATCH('Prior YTD Data Table'!$C70,'Prior YTD Data Pull'!$A$2:$A$605,0),MATCH("Total Current Liabilities",'Prior YTD Data Pull'!$A$1:$CB$1,0)),"")</f>
        <v>0</v>
      </c>
      <c r="AG70" s="38">
        <f>IFERROR(INDEX('Prior YTD Data Pull'!$A$2:$CB$605,MATCH('Prior YTD Data Table'!$C70,'Prior YTD Data Pull'!$A$2:$A$605,0),MATCH("Total Non Operating Revenue",'Prior YTD Data Pull'!$A$1:$CB$1,0)),"")</f>
        <v>-3486</v>
      </c>
      <c r="AH70" s="38">
        <f>IFERROR(INDEX('Prior YTD Data Pull'!$A$2:$CB$605,MATCH('Prior YTD Data Table'!$C70,'Prior Year Data Pull'!$A$2:$A$593,0),MATCH("Less Accumulated Depreciation",'Prior YTD Data Pull'!$A$1:$CB$1,0)),"")</f>
        <v>159427077</v>
      </c>
      <c r="AI70" s="38">
        <f>IFERROR(INDEX('Prior YTD Data Pull'!$A$2:$CB$605,MATCH('Prior YTD Data Table'!$C70,'Prior YTD Data Pull'!$A$2:$A$605,0),MATCH("Depreciation and Amortization Expense",'Prior YTD Data Pull'!$A$1:$CB$1,0)),"")</f>
        <v>1136861</v>
      </c>
      <c r="AJ70" s="38">
        <f>IFERROR(INDEX('Prior YTD Data Pull'!$A$2:$CB$605,MATCH('Prior YTD Data Table'!$C70,'Prior YTD Data Pull'!$A$2:$A$605,0),MATCH("Net Patient Accounts Receivable",'Prior YTD Data Pull'!$A$1:$CB$1,0)),"")</f>
        <v>0</v>
      </c>
      <c r="AK70" s="14" t="str">
        <f>IF('Prior YTD Data Pull'!$H70 = 6, "183", IF('Prior YTD Data Pull'!$H70 = 3, "93",""))</f>
        <v>183</v>
      </c>
      <c r="AL70" s="38">
        <f>IFERROR(INDEX('Prior YTD Data Pull'!$A$2:$CB$605,MATCH('Prior YTD Data Table'!$C70,'Prior YTD Data Pull'!$A$2:$A$605,0),MATCH("Estimated Third Party Settlements",'Prior YTD Data Pull'!$A$1:$CB$1,0)),"")</f>
        <v>0</v>
      </c>
      <c r="AM70" s="38">
        <f>IFERROR(INDEX('Prior YTD Data Pull'!$A$2:$CB$605,MATCH('Prior YTD Data Table'!$C70,'Prior YTD Data Pull'!$A$2:$A$605,0),MATCH("Current Liabilities due to Affiliates",'Prior YTD Data Pull'!$A$1:$CB$1,0)),"")</f>
        <v>0</v>
      </c>
      <c r="AN70" s="38">
        <f>IFERROR(INDEX('Prior YTD Data Pull'!$A$2:$CB$605,MATCH('Prior YTD Data Table'!$C70,'Prior YTD Data Pull'!$A$2:$A$605,0),MATCH("Short Term Investments",'Prior YTD Data Pull'!$A$1:$CB$1,0)),"")</f>
        <v>0</v>
      </c>
      <c r="AO70" s="38">
        <f>IFERROR(INDEX('Prior YTD Data Pull'!$A$2:$CB$605,MATCH('Prior YTD Data Table'!$C70,'Prior YTD Data Pull'!$A$2:$A$605,0),MATCH("Cash and Cash Equivalents",'Prior YTD Data Pull'!$A$1:$CB$1,0)),"")</f>
        <v>0</v>
      </c>
      <c r="AP70" s="38">
        <f>IFERROR(INDEX('Prior YTD Data Pull'!$A$2:$CB$605,MATCH('Prior YTD Data Table'!$C70,'Prior YTD Data Pull'!$A$2:$A$605,0),MATCH("Interest Expense",'Prior YTD Data Pull'!$A$1:$CB$1,0)),"")</f>
        <v>831044</v>
      </c>
      <c r="AQ70" s="38">
        <f>IFERROR(INDEX('Prior YTD Data Pull'!$A$2:$CB$605,MATCH('Prior YTD Data Table'!$C70,'Prior YTD Data Pull'!$A$2:$A$605,0),MATCH("Long Term Debt Net of Current Portion",'Prior YTD Data Pull'!$A$1:$CB$1,0)),"")</f>
        <v>0</v>
      </c>
      <c r="AR70" s="38">
        <f>IFERROR(INDEX('Prior YTD Data Pull'!$A$2:$CB$605,MATCH('Prior YTD Data Table'!$C70,'Prior YTD Data Pull'!$A$2:$A$605,0),MATCH("Total Assets",'Prior YTD Data Pull'!$A$1:$CB$1,0)),"")</f>
        <v>0</v>
      </c>
      <c r="AS70" s="38">
        <f>IFERROR(INDEX('Prior YTD Data Pull'!$A$2:$CB$605,MATCH('Prior YTD Data Table'!$C70,'Prior YTD Data Pull'!$A$2:$A$605,0),MATCH("Long Term Debt Net of Current Portion",'Prior YTD Data Pull'!$A$1:$CB$1,0)),"")</f>
        <v>0</v>
      </c>
      <c r="AT70" s="38">
        <f>IFERROR(INDEX('Prior YTD Data Pull'!$A$2:$CB$605,MATCH('Prior YTD Data Table'!$C70,'Prior YTD Data Pull'!$A$2:$A$605,0),MATCH("Net Unrestricted Assets",'Prior YTD Data Pull'!$A$1:$CB$1,0)),"")</f>
        <v>0</v>
      </c>
      <c r="AU70" s="38">
        <f>IFERROR(INDEX('Prior YTD Data Pull'!$A$2:$CB$605,MATCH('Prior YTD Data Table'!$C70,'Prior YTD Data Pull'!$A$2:$A$605,0),MATCH("Unrealized Gains/Losses",'Prior YTD Data Pull'!$A$1:$CB$1,0)),"")</f>
        <v>-3486</v>
      </c>
      <c r="AV70" s="38">
        <f>IFERROR(INDEX('Prior YTD Data Pull'!$A$2:$CB$605,MATCH('Prior YTD Data Table'!$C70,'Prior YTD Data Pull'!$A$2:$A$605,0),MATCH("Salary and Benefit Expense",'Prior YTD Data Pull'!$A$1:$CB$1,0)),"")</f>
        <v>41543257</v>
      </c>
      <c r="AW70" s="38"/>
      <c r="AX70" s="38"/>
      <c r="AY70" s="38"/>
      <c r="AZ70" s="38"/>
    </row>
    <row r="71" spans="1:52" ht="34.200000000000003" x14ac:dyDescent="0.3">
      <c r="A71" s="14" t="str">
        <f>IFERROR(INDEX('Static Data Tab'!$N$2:$N$610,MATCH(D71,'Static Data Tab'!$D$2:$D$610,0)), "")</f>
        <v>Berkshire Health Systems</v>
      </c>
      <c r="B71" s="14" t="s">
        <v>88</v>
      </c>
      <c r="C71" s="14">
        <v>11794</v>
      </c>
      <c r="D71" s="14">
        <v>3106</v>
      </c>
      <c r="E71" s="14" t="str">
        <f>IFERROR(INDEX('Prior YTD Data Pull'!$A$1:$CB$605,MATCH('Prior YTD Data Table'!$C71,'Prior YTD Data Pull'!$A$1:$A$605,0),MATCH("Organization Type",'Prior YTD Data Pull'!$A$1:$CB$1,0)),"")</f>
        <v>PhysicianOrganization</v>
      </c>
      <c r="F71" s="14" t="str">
        <f>IFERROR(INDEX('Static Data Tab'!$E$2:$E$610,MATCH('Prior YTD Data Table'!$C71,'Static Data Tab'!$B$2:$B$610,0)), "-")</f>
        <v>-</v>
      </c>
      <c r="G71" s="46" t="str">
        <f>IFERROR(INDEX('Static Data Tab'!$J$2:$J$610,MATCH('Prior YTD Data Table'!$C71,'Static Data Tab'!$B$2:$B$610,0)), "")</f>
        <v/>
      </c>
      <c r="H71" s="14" t="str">
        <f>IFERROR(INDEX('Static Data Tab'!$F$2:$F$610,MATCH('Prior YTD Data Table'!$C71,'Static Data Tab'!$B$2:$B$610,0)), "")</f>
        <v/>
      </c>
      <c r="I71" s="14" t="str">
        <f>IFERROR(INDEX('Static Data Tab'!$G$2:$G$610,MATCH('Prior YTD Data Table'!$C71,'Static Data Tab'!$B$2:$B$610,0)), "")</f>
        <v/>
      </c>
      <c r="J71" s="14" t="str">
        <f>IFERROR(INDEX('Prior YTD Data Pull'!$A$2:$CB$605,MATCH('Prior YTD Data Table'!$C71,'Prior YTD Data Pull'!$A$2:$A$605,0),MATCH("Quarter Range",'Prior YTD Data Pull'!$A$1:$CB$1,0)),"")</f>
        <v xml:space="preserve">10/01/2024-03/31/2025
</v>
      </c>
      <c r="K71" s="37">
        <f t="shared" si="15"/>
        <v>-0.64262561277790797</v>
      </c>
      <c r="L71" s="37">
        <f t="shared" si="16"/>
        <v>0</v>
      </c>
      <c r="M71" s="37">
        <f t="shared" si="17"/>
        <v>-0.64262561277790797</v>
      </c>
      <c r="N71" s="38">
        <f t="shared" si="18"/>
        <v>-18962229</v>
      </c>
      <c r="O71" s="39" t="str">
        <f t="shared" si="19"/>
        <v/>
      </c>
      <c r="P71" s="38">
        <f>IFERROR(INDEX('Prior YTD Data Pull'!$A$2:$CB$605,MATCH('Prior YTD Data Table'!$C71,'Prior YTD Data Pull'!$A$2:$A$605,0),MATCH("Total Net Assets or Equity",'Prior YTD Data Pull'!$A$1:$CB$1,0)),"")</f>
        <v>0</v>
      </c>
      <c r="Q71" s="38">
        <f>IFERROR(INDEX('Prior YTD Data Pull'!$A$2:$CB$605,MATCH('Prior YTD Data Table'!$C71,'Prior YTD Data Pull'!$A$2:$A$605,0),MATCH("Total Operating Revenue",'Prior YTD Data Pull'!$A$1:$CB$1,0)),"")</f>
        <v>29507428</v>
      </c>
      <c r="R71" s="38">
        <f>IFERROR(INDEX('Prior YTD Data Pull'!$A$2:$CB$605,MATCH('Prior YTD Data Table'!$C71,'Prior YTD Data Pull'!$A$2:$A$605,0),MATCH("Total Unrestricted Revenue Gains and Other Support",'Prior YTD Data Pull'!$A$1:$CB$1,0)),"")</f>
        <v>29507428</v>
      </c>
      <c r="S71" s="38">
        <f>IFERROR(INDEX('Prior YTD TS Data Pull'!$J$2:$J$128,MATCH('Prior YTD Data Table'!$C71, 'Prior YTD TS Data Pull'!$A$2:$A$128,0))+INDEX('Prior YTD TS Data Pull'!$N$2:$N$128,MATCH('Prior YTD Data Table'!$C71,'Prior YTD TS Data Pull'!$A$2:$A$609,0))+INDEX('Prior YTD TS Data Pull'!$R$2:$R$128,MATCH('Prior YTD Data Table'!$C71,'Prior YTD TS Data Pull'!$A$2:$A$609,0)),"")</f>
        <v>4244111</v>
      </c>
      <c r="T71" s="38">
        <f>IF(INDEX('Prior YTD TS Data Pull'!$A$1:$O$609,MATCH('Prior YTD Data Table'!$C71,'Prior YTD TS Data Pull'!$A$1:$A$609,0),MATCH("Temporary RN Staffing:
Line Reported on in Standardized Financials",'Prior YTD TS Data Pull'!$A$1:$O$1,0))="66.1: Salary and Benefit Expense",'Prior YTD Data Table'!$AV71-'Prior YTD Data Table'!$S71,0)</f>
        <v>0</v>
      </c>
      <c r="U71" s="38">
        <f>IFERROR(INDEX('Prior YTD Data Pull'!$A$2:$CB$605,MATCH('Prior YTD Data Table'!$C71,'Prior YTD Data Pull'!$A$2:$A$605,0),MATCH("Total Expenses Including Nonrecurring Gains Losses",'Prior YTD Data Pull'!$A$1:$CB$1,0)),"")</f>
        <v>48469657</v>
      </c>
      <c r="V71" s="41" t="str">
        <f t="shared" si="20"/>
        <v/>
      </c>
      <c r="W71" s="41">
        <f t="shared" si="21"/>
        <v>0</v>
      </c>
      <c r="X71" s="41">
        <f t="shared" si="13"/>
        <v>0</v>
      </c>
      <c r="Y71" s="37" t="str">
        <f t="shared" si="22"/>
        <v/>
      </c>
      <c r="Z71" s="41">
        <f t="shared" si="14"/>
        <v>0</v>
      </c>
      <c r="AA71" s="39" t="str">
        <f t="shared" si="23"/>
        <v/>
      </c>
      <c r="AB71" s="37" t="str">
        <f t="shared" si="24"/>
        <v/>
      </c>
      <c r="AC71" s="37" t="str">
        <f t="shared" si="25"/>
        <v/>
      </c>
      <c r="AD71" s="38">
        <f>IFERROR(INDEX('Prior YTD Data Pull'!$A$2:$CB$605,MATCH('Prior YTD Data Table'!$C71,'Prior YTD Data Pull'!$A$2:$A$605,0),MATCH("Net Patient Service Revenue",'Prior YTD Data Pull'!$A$1:$CB$1,0)),"")</f>
        <v>26048625</v>
      </c>
      <c r="AE71" s="38">
        <f>IFERROR(INDEX('Prior YTD Data Pull'!$A$2:$CB$605,MATCH('Prior YTD Data Table'!$C71,'Prior YTD Data Pull'!$A$2:$A$605,0),MATCH("Total Current Assets",'Prior YTD Data Pull'!$A$1:$CB$1,0)),"")</f>
        <v>0</v>
      </c>
      <c r="AF71" s="38">
        <f>IFERROR(INDEX('Prior YTD Data Pull'!$A$2:$CB$605,MATCH('Prior YTD Data Table'!$C71,'Prior YTD Data Pull'!$A$2:$A$605,0),MATCH("Total Current Liabilities",'Prior YTD Data Pull'!$A$1:$CB$1,0)),"")</f>
        <v>0</v>
      </c>
      <c r="AG71" s="38">
        <f>IFERROR(INDEX('Prior YTD Data Pull'!$A$2:$CB$605,MATCH('Prior YTD Data Table'!$C71,'Prior YTD Data Pull'!$A$2:$A$605,0),MATCH("Total Non Operating Revenue",'Prior YTD Data Pull'!$A$1:$CB$1,0)),"")</f>
        <v>0</v>
      </c>
      <c r="AH71" s="38">
        <f>IFERROR(INDEX('Prior YTD Data Pull'!$A$2:$CB$605,MATCH('Prior YTD Data Table'!$C71,'Prior Year Data Pull'!$A$2:$A$593,0),MATCH("Less Accumulated Depreciation",'Prior YTD Data Pull'!$A$1:$CB$1,0)),"")</f>
        <v>2714732000</v>
      </c>
      <c r="AI71" s="38">
        <f>IFERROR(INDEX('Prior YTD Data Pull'!$A$2:$CB$605,MATCH('Prior YTD Data Table'!$C71,'Prior YTD Data Pull'!$A$2:$A$605,0),MATCH("Depreciation and Amortization Expense",'Prior YTD Data Pull'!$A$1:$CB$1,0)),"")</f>
        <v>0</v>
      </c>
      <c r="AJ71" s="38">
        <f>IFERROR(INDEX('Prior YTD Data Pull'!$A$2:$CB$605,MATCH('Prior YTD Data Table'!$C71,'Prior YTD Data Pull'!$A$2:$A$605,0),MATCH("Net Patient Accounts Receivable",'Prior YTD Data Pull'!$A$1:$CB$1,0)),"")</f>
        <v>0</v>
      </c>
      <c r="AK71" s="14" t="str">
        <f>IF('Prior YTD Data Pull'!$H71 = 6, "183", IF('Prior YTD Data Pull'!$H71 = 3, "93",""))</f>
        <v>183</v>
      </c>
      <c r="AL71" s="38">
        <f>IFERROR(INDEX('Prior YTD Data Pull'!$A$2:$CB$605,MATCH('Prior YTD Data Table'!$C71,'Prior YTD Data Pull'!$A$2:$A$605,0),MATCH("Estimated Third Party Settlements",'Prior YTD Data Pull'!$A$1:$CB$1,0)),"")</f>
        <v>0</v>
      </c>
      <c r="AM71" s="38">
        <f>IFERROR(INDEX('Prior YTD Data Pull'!$A$2:$CB$605,MATCH('Prior YTD Data Table'!$C71,'Prior YTD Data Pull'!$A$2:$A$605,0),MATCH("Current Liabilities due to Affiliates",'Prior YTD Data Pull'!$A$1:$CB$1,0)),"")</f>
        <v>0</v>
      </c>
      <c r="AN71" s="38">
        <f>IFERROR(INDEX('Prior YTD Data Pull'!$A$2:$CB$605,MATCH('Prior YTD Data Table'!$C71,'Prior YTD Data Pull'!$A$2:$A$605,0),MATCH("Short Term Investments",'Prior YTD Data Pull'!$A$1:$CB$1,0)),"")</f>
        <v>0</v>
      </c>
      <c r="AO71" s="38">
        <f>IFERROR(INDEX('Prior YTD Data Pull'!$A$2:$CB$605,MATCH('Prior YTD Data Table'!$C71,'Prior YTD Data Pull'!$A$2:$A$605,0),MATCH("Cash and Cash Equivalents",'Prior YTD Data Pull'!$A$1:$CB$1,0)),"")</f>
        <v>0</v>
      </c>
      <c r="AP71" s="38">
        <f>IFERROR(INDEX('Prior YTD Data Pull'!$A$2:$CB$605,MATCH('Prior YTD Data Table'!$C71,'Prior YTD Data Pull'!$A$2:$A$605,0),MATCH("Interest Expense",'Prior YTD Data Pull'!$A$1:$CB$1,0)),"")</f>
        <v>0</v>
      </c>
      <c r="AQ71" s="38">
        <f>IFERROR(INDEX('Prior YTD Data Pull'!$A$2:$CB$605,MATCH('Prior YTD Data Table'!$C71,'Prior YTD Data Pull'!$A$2:$A$605,0),MATCH("Long Term Debt Net of Current Portion",'Prior YTD Data Pull'!$A$1:$CB$1,0)),"")</f>
        <v>0</v>
      </c>
      <c r="AR71" s="38">
        <f>IFERROR(INDEX('Prior YTD Data Pull'!$A$2:$CB$605,MATCH('Prior YTD Data Table'!$C71,'Prior YTD Data Pull'!$A$2:$A$605,0),MATCH("Total Assets",'Prior YTD Data Pull'!$A$1:$CB$1,0)),"")</f>
        <v>0</v>
      </c>
      <c r="AS71" s="38">
        <f>IFERROR(INDEX('Prior YTD Data Pull'!$A$2:$CB$605,MATCH('Prior YTD Data Table'!$C71,'Prior YTD Data Pull'!$A$2:$A$605,0),MATCH("Long Term Debt Net of Current Portion",'Prior YTD Data Pull'!$A$1:$CB$1,0)),"")</f>
        <v>0</v>
      </c>
      <c r="AT71" s="38">
        <f>IFERROR(INDEX('Prior YTD Data Pull'!$A$2:$CB$605,MATCH('Prior YTD Data Table'!$C71,'Prior YTD Data Pull'!$A$2:$A$605,0),MATCH("Net Unrestricted Assets",'Prior YTD Data Pull'!$A$1:$CB$1,0)),"")</f>
        <v>0</v>
      </c>
      <c r="AU71" s="38">
        <f>IFERROR(INDEX('Prior YTD Data Pull'!$A$2:$CB$605,MATCH('Prior YTD Data Table'!$C71,'Prior YTD Data Pull'!$A$2:$A$605,0),MATCH("Unrealized Gains/Losses",'Prior YTD Data Pull'!$A$1:$CB$1,0)),"")</f>
        <v>0</v>
      </c>
      <c r="AV71" s="38">
        <f>IFERROR(INDEX('Prior YTD Data Pull'!$A$2:$CB$605,MATCH('Prior YTD Data Table'!$C71,'Prior YTD Data Pull'!$A$2:$A$605,0),MATCH("Salary and Benefit Expense",'Prior YTD Data Pull'!$A$1:$CB$1,0)),"")</f>
        <v>34025224</v>
      </c>
      <c r="AW71" s="47"/>
      <c r="AX71" s="47"/>
      <c r="AY71" s="47"/>
      <c r="AZ71" s="47"/>
    </row>
    <row r="72" spans="1:52" ht="34.200000000000003" x14ac:dyDescent="0.3">
      <c r="A72" s="14" t="str">
        <f>IFERROR(INDEX('Static Data Tab'!$N$2:$N$610,MATCH(D72,'Static Data Tab'!$D$2:$D$610,0)), "")</f>
        <v>Boston Children's Hospital and Subsid.</v>
      </c>
      <c r="B72" s="57" t="s">
        <v>116</v>
      </c>
      <c r="C72" s="57">
        <v>14426</v>
      </c>
      <c r="D72" s="57">
        <v>14286</v>
      </c>
      <c r="E72" s="14" t="str">
        <f>IFERROR(INDEX('Prior YTD Data Pull'!$A$1:$CB$605,MATCH('Prior YTD Data Table'!$C72,'Prior YTD Data Pull'!$A$1:$A$605,0),MATCH("Organization Type",'Prior YTD Data Pull'!$A$1:$CB$1,0)),"")</f>
        <v>PhysicianOrganization</v>
      </c>
      <c r="F72" s="14" t="str">
        <f>IFERROR(INDEX('Static Data Tab'!$E$2:$E$610,MATCH('Prior YTD Data Table'!$C72,'Static Data Tab'!$B$2:$B$610,0)), "-")</f>
        <v>-</v>
      </c>
      <c r="G72" s="46" t="str">
        <f>IFERROR(INDEX('Static Data Tab'!$J$2:$J$610,MATCH('Prior YTD Data Table'!$C72,'Static Data Tab'!$B$2:$B$610,0)), "")</f>
        <v/>
      </c>
      <c r="H72" s="14" t="str">
        <f>IFERROR(INDEX('Static Data Tab'!$F$2:$F$610,MATCH('Prior YTD Data Table'!$C72,'Static Data Tab'!$B$2:$B$610,0)), "")</f>
        <v/>
      </c>
      <c r="I72" s="14" t="str">
        <f>IFERROR(INDEX('Static Data Tab'!$G$2:$G$610,MATCH('Prior YTD Data Table'!$C72,'Static Data Tab'!$B$2:$B$610,0)), "")</f>
        <v/>
      </c>
      <c r="J72" s="14" t="str">
        <f>IFERROR(INDEX('Prior YTD Data Pull'!$A$2:$CB$605,MATCH('Prior YTD Data Table'!$C72,'Prior YTD Data Pull'!$A$2:$A$605,0),MATCH("Quarter Range",'Prior YTD Data Pull'!$A$1:$CB$1,0)),"")</f>
        <v xml:space="preserve">10/01/2024-03/31/2025
</v>
      </c>
      <c r="K72" s="37">
        <f t="shared" si="15"/>
        <v>4.6137060353780577E-3</v>
      </c>
      <c r="L72" s="37">
        <f t="shared" si="16"/>
        <v>-3.2460818852936134E-2</v>
      </c>
      <c r="M72" s="37">
        <f t="shared" si="17"/>
        <v>-2.7847112817558081E-2</v>
      </c>
      <c r="N72" s="38">
        <f t="shared" si="18"/>
        <v>-14958842</v>
      </c>
      <c r="O72" s="39" t="str">
        <f t="shared" si="19"/>
        <v/>
      </c>
      <c r="P72" s="38">
        <f>IFERROR(INDEX('Prior YTD Data Pull'!$A$2:$CB$605,MATCH('Prior YTD Data Table'!$C72,'Prior YTD Data Pull'!$A$2:$A$605,0),MATCH("Total Net Assets or Equity",'Prior YTD Data Pull'!$A$1:$CB$1,0)),"")</f>
        <v>0</v>
      </c>
      <c r="Q72" s="38">
        <f>IFERROR(INDEX('Prior YTD Data Pull'!$A$2:$CB$605,MATCH('Prior YTD Data Table'!$C72,'Prior YTD Data Pull'!$A$2:$A$605,0),MATCH("Total Operating Revenue",'Prior YTD Data Pull'!$A$1:$CB$1,0)),"")</f>
        <v>554614705</v>
      </c>
      <c r="R72" s="38">
        <f>IFERROR(INDEX('Prior YTD Data Pull'!$A$2:$CB$605,MATCH('Prior YTD Data Table'!$C72,'Prior YTD Data Pull'!$A$2:$A$605,0),MATCH("Total Unrestricted Revenue Gains and Other Support",'Prior YTD Data Pull'!$A$1:$CB$1,0)),"")</f>
        <v>537177484</v>
      </c>
      <c r="S72" s="38">
        <f>IFERROR(INDEX('Prior YTD TS Data Pull'!$J$2:$J$128,MATCH('Prior YTD Data Table'!$C72, 'Prior YTD TS Data Pull'!$A$2:$A$128,0))+INDEX('Prior YTD TS Data Pull'!$N$2:$N$128,MATCH('Prior YTD Data Table'!$C72,'Prior YTD TS Data Pull'!$A$2:$A$609,0))+INDEX('Prior YTD TS Data Pull'!$R$2:$R$128,MATCH('Prior YTD Data Table'!$C72,'Prior YTD TS Data Pull'!$A$2:$A$609,0)),"")</f>
        <v>842352.55</v>
      </c>
      <c r="T72" s="38">
        <f>IF(INDEX('Prior YTD TS Data Pull'!$A$1:$O$609,MATCH('Prior YTD Data Table'!$C72,'Prior YTD TS Data Pull'!$A$1:$A$609,0),MATCH("Temporary RN Staffing:
Line Reported on in Standardized Financials",'Prior YTD TS Data Pull'!$A$1:$O$1,0))="66.1: Salary and Benefit Expense",'Prior YTD Data Table'!$AV72-'Prior YTD Data Table'!$S72,0)</f>
        <v>460554570.44999999</v>
      </c>
      <c r="U72" s="38">
        <f>IFERROR(INDEX('Prior YTD Data Pull'!$A$2:$CB$605,MATCH('Prior YTD Data Table'!$C72,'Prior YTD Data Pull'!$A$2:$A$605,0),MATCH("Total Expenses Including Nonrecurring Gains Losses",'Prior YTD Data Pull'!$A$1:$CB$1,0)),"")</f>
        <v>552136326</v>
      </c>
      <c r="V72" s="41">
        <f t="shared" si="20"/>
        <v>0</v>
      </c>
      <c r="W72" s="41">
        <f t="shared" si="21"/>
        <v>0</v>
      </c>
      <c r="X72" s="41">
        <f t="shared" si="13"/>
        <v>0</v>
      </c>
      <c r="Y72" s="37" t="str">
        <f t="shared" si="22"/>
        <v/>
      </c>
      <c r="Z72" s="41">
        <f t="shared" si="14"/>
        <v>0</v>
      </c>
      <c r="AA72" s="39" t="str">
        <f t="shared" si="23"/>
        <v/>
      </c>
      <c r="AB72" s="37" t="str">
        <f t="shared" si="24"/>
        <v/>
      </c>
      <c r="AC72" s="37" t="str">
        <f t="shared" si="25"/>
        <v/>
      </c>
      <c r="AD72" s="38">
        <f>IFERROR(INDEX('Prior YTD Data Pull'!$A$2:$CB$605,MATCH('Prior YTD Data Table'!$C72,'Prior YTD Data Pull'!$A$2:$A$605,0),MATCH("Net Patient Service Revenue",'Prior YTD Data Pull'!$A$1:$CB$1,0)),"")</f>
        <v>440411601</v>
      </c>
      <c r="AE72" s="38">
        <f>IFERROR(INDEX('Prior YTD Data Pull'!$A$2:$CB$605,MATCH('Prior YTD Data Table'!$C72,'Prior YTD Data Pull'!$A$2:$A$605,0),MATCH("Total Current Assets",'Prior YTD Data Pull'!$A$1:$CB$1,0)),"")</f>
        <v>0</v>
      </c>
      <c r="AF72" s="38">
        <f>IFERROR(INDEX('Prior YTD Data Pull'!$A$2:$CB$605,MATCH('Prior YTD Data Table'!$C72,'Prior YTD Data Pull'!$A$2:$A$605,0),MATCH("Total Current Liabilities",'Prior YTD Data Pull'!$A$1:$CB$1,0)),"")</f>
        <v>0</v>
      </c>
      <c r="AG72" s="38">
        <f>IFERROR(INDEX('Prior YTD Data Pull'!$A$2:$CB$605,MATCH('Prior YTD Data Table'!$C72,'Prior YTD Data Pull'!$A$2:$A$605,0),MATCH("Total Non Operating Revenue",'Prior YTD Data Pull'!$A$1:$CB$1,0)),"")</f>
        <v>-17437221</v>
      </c>
      <c r="AH72" s="38">
        <f>IFERROR(INDEX('Prior YTD Data Pull'!$A$2:$CB$605,MATCH('Prior YTD Data Table'!$C72,'Prior Year Data Pull'!$A$2:$A$593,0),MATCH("Less Accumulated Depreciation",'Prior YTD Data Pull'!$A$1:$CB$1,0)),"")</f>
        <v>0</v>
      </c>
      <c r="AI72" s="38">
        <f>IFERROR(INDEX('Prior YTD Data Pull'!$A$2:$CB$605,MATCH('Prior YTD Data Table'!$C72,'Prior YTD Data Pull'!$A$2:$A$605,0),MATCH("Depreciation and Amortization Expense",'Prior YTD Data Pull'!$A$1:$CB$1,0)),"")</f>
        <v>1072791</v>
      </c>
      <c r="AJ72" s="38">
        <f>IFERROR(INDEX('Prior YTD Data Pull'!$A$2:$CB$605,MATCH('Prior YTD Data Table'!$C72,'Prior YTD Data Pull'!$A$2:$A$605,0),MATCH("Net Patient Accounts Receivable",'Prior YTD Data Pull'!$A$1:$CB$1,0)),"")</f>
        <v>0</v>
      </c>
      <c r="AK72" s="14" t="str">
        <f>IF('Prior YTD Data Pull'!$H72 = 6, "183", IF('Prior YTD Data Pull'!$H72 = 3, "93",""))</f>
        <v>183</v>
      </c>
      <c r="AL72" s="38">
        <f>IFERROR(INDEX('Prior YTD Data Pull'!$A$2:$CB$605,MATCH('Prior YTD Data Table'!$C72,'Prior YTD Data Pull'!$A$2:$A$605,0),MATCH("Estimated Third Party Settlements",'Prior YTD Data Pull'!$A$1:$CB$1,0)),"")</f>
        <v>0</v>
      </c>
      <c r="AM72" s="38">
        <f>IFERROR(INDEX('Prior YTD Data Pull'!$A$2:$CB$605,MATCH('Prior YTD Data Table'!$C72,'Prior YTD Data Pull'!$A$2:$A$605,0),MATCH("Current Liabilities due to Affiliates",'Prior YTD Data Pull'!$A$1:$CB$1,0)),"")</f>
        <v>0</v>
      </c>
      <c r="AN72" s="38">
        <f>IFERROR(INDEX('Prior YTD Data Pull'!$A$2:$CB$605,MATCH('Prior YTD Data Table'!$C72,'Prior YTD Data Pull'!$A$2:$A$605,0),MATCH("Short Term Investments",'Prior YTD Data Pull'!$A$1:$CB$1,0)),"")</f>
        <v>0</v>
      </c>
      <c r="AO72" s="38">
        <f>IFERROR(INDEX('Prior YTD Data Pull'!$A$2:$CB$605,MATCH('Prior YTD Data Table'!$C72,'Prior YTD Data Pull'!$A$2:$A$605,0),MATCH("Cash and Cash Equivalents",'Prior YTD Data Pull'!$A$1:$CB$1,0)),"")</f>
        <v>0</v>
      </c>
      <c r="AP72" s="38">
        <f>IFERROR(INDEX('Prior YTD Data Pull'!$A$2:$CB$605,MATCH('Prior YTD Data Table'!$C72,'Prior YTD Data Pull'!$A$2:$A$605,0),MATCH("Interest Expense",'Prior YTD Data Pull'!$A$1:$CB$1,0)),"")</f>
        <v>0</v>
      </c>
      <c r="AQ72" s="38">
        <f>IFERROR(INDEX('Prior YTD Data Pull'!$A$2:$CB$605,MATCH('Prior YTD Data Table'!$C72,'Prior YTD Data Pull'!$A$2:$A$605,0),MATCH("Long Term Debt Net of Current Portion",'Prior YTD Data Pull'!$A$1:$CB$1,0)),"")</f>
        <v>0</v>
      </c>
      <c r="AR72" s="38">
        <f>IFERROR(INDEX('Prior YTD Data Pull'!$A$2:$CB$605,MATCH('Prior YTD Data Table'!$C72,'Prior YTD Data Pull'!$A$2:$A$605,0),MATCH("Total Assets",'Prior YTD Data Pull'!$A$1:$CB$1,0)),"")</f>
        <v>0</v>
      </c>
      <c r="AS72" s="38">
        <f>IFERROR(INDEX('Prior YTD Data Pull'!$A$2:$CB$605,MATCH('Prior YTD Data Table'!$C72,'Prior YTD Data Pull'!$A$2:$A$605,0),MATCH("Long Term Debt Net of Current Portion",'Prior YTD Data Pull'!$A$1:$CB$1,0)),"")</f>
        <v>0</v>
      </c>
      <c r="AT72" s="38">
        <f>IFERROR(INDEX('Prior YTD Data Pull'!$A$2:$CB$605,MATCH('Prior YTD Data Table'!$C72,'Prior YTD Data Pull'!$A$2:$A$605,0),MATCH("Net Unrestricted Assets",'Prior YTD Data Pull'!$A$1:$CB$1,0)),"")</f>
        <v>0</v>
      </c>
      <c r="AU72" s="38">
        <f>IFERROR(INDEX('Prior YTD Data Pull'!$A$2:$CB$605,MATCH('Prior YTD Data Table'!$C72,'Prior YTD Data Pull'!$A$2:$A$605,0),MATCH("Unrealized Gains/Losses",'Prior YTD Data Pull'!$A$1:$CB$1,0)),"")</f>
        <v>0</v>
      </c>
      <c r="AV72" s="38">
        <f>IFERROR(INDEX('Prior YTD Data Pull'!$A$2:$CB$605,MATCH('Prior YTD Data Table'!$C72,'Prior YTD Data Pull'!$A$2:$A$605,0),MATCH("Salary and Benefit Expense",'Prior YTD Data Pull'!$A$1:$CB$1,0)),"")</f>
        <v>461396923</v>
      </c>
      <c r="AW72" s="38"/>
      <c r="AX72" s="38"/>
      <c r="AY72" s="38"/>
      <c r="AZ72" s="38"/>
    </row>
    <row r="73" spans="1:52" ht="34.200000000000003" x14ac:dyDescent="0.3">
      <c r="A73" s="14" t="str">
        <f>IFERROR(INDEX('Static Data Tab'!$N$2:$N$610,MATCH(D73,'Static Data Tab'!$D$2:$D$610,0)), "")</f>
        <v>Boston Medical Center Health System</v>
      </c>
      <c r="B73" s="14" t="s">
        <v>120</v>
      </c>
      <c r="C73" s="14">
        <v>14418</v>
      </c>
      <c r="D73" s="14">
        <v>14287</v>
      </c>
      <c r="E73" s="14" t="str">
        <f>IFERROR(INDEX('Prior YTD Data Pull'!$A$1:$CB$605,MATCH('Prior YTD Data Table'!$C73,'Prior YTD Data Pull'!$A$1:$A$605,0),MATCH("Organization Type",'Prior YTD Data Pull'!$A$1:$CB$1,0)),"")</f>
        <v>PhysicianOrganization</v>
      </c>
      <c r="F73" s="14" t="str">
        <f>IFERROR(INDEX('Static Data Tab'!$E$2:$E$610,MATCH('Prior YTD Data Table'!$C73,'Static Data Tab'!$B$2:$B$610,0)), "-")</f>
        <v>-</v>
      </c>
      <c r="G73" s="46" t="str">
        <f>IFERROR(INDEX('Static Data Tab'!$J$2:$J$610,MATCH('Prior YTD Data Table'!$C73,'Static Data Tab'!$B$2:$B$610,0)), "")</f>
        <v/>
      </c>
      <c r="H73" s="14" t="str">
        <f>IFERROR(INDEX('Static Data Tab'!$F$2:$F$610,MATCH('Prior YTD Data Table'!$C73,'Static Data Tab'!$B$2:$B$610,0)), "")</f>
        <v/>
      </c>
      <c r="I73" s="14" t="str">
        <f>IFERROR(INDEX('Static Data Tab'!$G$2:$G$610,MATCH('Prior YTD Data Table'!$C73,'Static Data Tab'!$B$2:$B$610,0)), "")</f>
        <v/>
      </c>
      <c r="J73" s="14" t="str">
        <f>IFERROR(INDEX('Prior YTD Data Pull'!$A$2:$CB$605,MATCH('Prior YTD Data Table'!$C73,'Prior YTD Data Pull'!$A$2:$A$605,0),MATCH("Quarter Range",'Prior YTD Data Pull'!$A$1:$CB$1,0)),"")</f>
        <v xml:space="preserve">10/01/2024-03/31/2025
</v>
      </c>
      <c r="K73" s="37">
        <f t="shared" si="15"/>
        <v>-2.6822038129238838E-2</v>
      </c>
      <c r="L73" s="37">
        <f t="shared" si="16"/>
        <v>-1.3620754854322817E-3</v>
      </c>
      <c r="M73" s="37">
        <f t="shared" si="17"/>
        <v>-2.818411361467112E-2</v>
      </c>
      <c r="N73" s="38">
        <f t="shared" si="18"/>
        <v>-7780619</v>
      </c>
      <c r="O73" s="39" t="str">
        <f t="shared" si="19"/>
        <v/>
      </c>
      <c r="P73" s="38">
        <f>IFERROR(INDEX('Prior YTD Data Pull'!$A$2:$CB$605,MATCH('Prior YTD Data Table'!$C73,'Prior YTD Data Pull'!$A$2:$A$605,0),MATCH("Total Net Assets or Equity",'Prior YTD Data Pull'!$A$1:$CB$1,0)),"")</f>
        <v>0</v>
      </c>
      <c r="Q73" s="38">
        <f>IFERROR(INDEX('Prior YTD Data Pull'!$A$2:$CB$605,MATCH('Prior YTD Data Table'!$C73,'Prior YTD Data Pull'!$A$2:$A$605,0),MATCH("Total Operating Revenue",'Prior YTD Data Pull'!$A$1:$CB$1,0)),"")</f>
        <v>276440015</v>
      </c>
      <c r="R73" s="38">
        <f>IFERROR(INDEX('Prior YTD Data Pull'!$A$2:$CB$605,MATCH('Prior YTD Data Table'!$C73,'Prior YTD Data Pull'!$A$2:$A$605,0),MATCH("Total Unrestricted Revenue Gains and Other Support",'Prior YTD Data Pull'!$A$1:$CB$1,0)),"")</f>
        <v>276063995</v>
      </c>
      <c r="S73" s="38">
        <f>IFERROR(INDEX('Prior YTD TS Data Pull'!$J$2:$J$128,MATCH('Prior YTD Data Table'!$C73, 'Prior YTD TS Data Pull'!$A$2:$A$128,0))+INDEX('Prior YTD TS Data Pull'!$N$2:$N$128,MATCH('Prior YTD Data Table'!$C73,'Prior YTD TS Data Pull'!$A$2:$A$609,0))+INDEX('Prior YTD TS Data Pull'!$R$2:$R$128,MATCH('Prior YTD Data Table'!$C73,'Prior YTD TS Data Pull'!$A$2:$A$609,0)),"")</f>
        <v>1275864</v>
      </c>
      <c r="T73" s="38">
        <f>IF(INDEX('Prior YTD TS Data Pull'!$A$1:$O$609,MATCH('Prior YTD Data Table'!$C73,'Prior YTD TS Data Pull'!$A$1:$A$609,0),MATCH("Temporary RN Staffing:
Line Reported on in Standardized Financials",'Prior YTD TS Data Pull'!$A$1:$O$1,0))="66.1: Salary and Benefit Expense",'Prior YTD Data Table'!$AV73-'Prior YTD Data Table'!$S73,0)</f>
        <v>0</v>
      </c>
      <c r="U73" s="38">
        <f>IFERROR(INDEX('Prior YTD Data Pull'!$A$2:$CB$605,MATCH('Prior YTD Data Table'!$C73,'Prior YTD Data Pull'!$A$2:$A$605,0),MATCH("Total Expenses Including Nonrecurring Gains Losses",'Prior YTD Data Pull'!$A$1:$CB$1,0)),"")</f>
        <v>283844614</v>
      </c>
      <c r="V73" s="41">
        <f t="shared" si="20"/>
        <v>1398.8078891963637</v>
      </c>
      <c r="W73" s="41">
        <f t="shared" si="21"/>
        <v>0</v>
      </c>
      <c r="X73" s="41">
        <f t="shared" si="13"/>
        <v>0</v>
      </c>
      <c r="Y73" s="37" t="str">
        <f t="shared" si="22"/>
        <v/>
      </c>
      <c r="Z73" s="41">
        <f t="shared" si="14"/>
        <v>0</v>
      </c>
      <c r="AA73" s="39">
        <f t="shared" si="23"/>
        <v>-561.74716670100963</v>
      </c>
      <c r="AB73" s="37" t="str">
        <f t="shared" si="24"/>
        <v/>
      </c>
      <c r="AC73" s="37" t="str">
        <f t="shared" si="25"/>
        <v/>
      </c>
      <c r="AD73" s="38">
        <f>IFERROR(INDEX('Prior YTD Data Pull'!$A$2:$CB$605,MATCH('Prior YTD Data Table'!$C73,'Prior YTD Data Pull'!$A$2:$A$605,0),MATCH("Net Patient Service Revenue",'Prior YTD Data Pull'!$A$1:$CB$1,0)),"")</f>
        <v>105825808</v>
      </c>
      <c r="AE73" s="38">
        <f>IFERROR(INDEX('Prior YTD Data Pull'!$A$2:$CB$605,MATCH('Prior YTD Data Table'!$C73,'Prior YTD Data Pull'!$A$2:$A$605,0),MATCH("Total Current Assets",'Prior YTD Data Pull'!$A$1:$CB$1,0)),"")</f>
        <v>0</v>
      </c>
      <c r="AF73" s="38">
        <f>IFERROR(INDEX('Prior YTD Data Pull'!$A$2:$CB$605,MATCH('Prior YTD Data Table'!$C73,'Prior YTD Data Pull'!$A$2:$A$605,0),MATCH("Total Current Liabilities",'Prior YTD Data Pull'!$A$1:$CB$1,0)),"")</f>
        <v>0</v>
      </c>
      <c r="AG73" s="38">
        <f>IFERROR(INDEX('Prior YTD Data Pull'!$A$2:$CB$605,MATCH('Prior YTD Data Table'!$C73,'Prior YTD Data Pull'!$A$2:$A$605,0),MATCH("Total Non Operating Revenue",'Prior YTD Data Pull'!$A$1:$CB$1,0)),"")</f>
        <v>-376020</v>
      </c>
      <c r="AH73" s="38">
        <f>IFERROR(INDEX('Prior YTD Data Pull'!$A$2:$CB$605,MATCH('Prior YTD Data Table'!$C73,'Prior Year Data Pull'!$A$2:$A$593,0),MATCH("Less Accumulated Depreciation",'Prior YTD Data Pull'!$A$1:$CB$1,0)),"")</f>
        <v>397309000</v>
      </c>
      <c r="AI73" s="38">
        <f>IFERROR(INDEX('Prior YTD Data Pull'!$A$2:$CB$605,MATCH('Prior YTD Data Table'!$C73,'Prior YTD Data Pull'!$A$2:$A$605,0),MATCH("Depreciation and Amortization Expense",'Prior YTD Data Pull'!$A$1:$CB$1,0)),"")</f>
        <v>284034</v>
      </c>
      <c r="AJ73" s="38">
        <f>IFERROR(INDEX('Prior YTD Data Pull'!$A$2:$CB$605,MATCH('Prior YTD Data Table'!$C73,'Prior YTD Data Pull'!$A$2:$A$605,0),MATCH("Net Patient Accounts Receivable",'Prior YTD Data Pull'!$A$1:$CB$1,0)),"")</f>
        <v>0</v>
      </c>
      <c r="AK73" s="14" t="str">
        <f>IF('Prior YTD Data Pull'!$H73 = 6, "183", IF('Prior YTD Data Pull'!$H73 = 3, "93",""))</f>
        <v>183</v>
      </c>
      <c r="AL73" s="38">
        <f>IFERROR(INDEX('Prior YTD Data Pull'!$A$2:$CB$605,MATCH('Prior YTD Data Table'!$C73,'Prior YTD Data Pull'!$A$2:$A$605,0),MATCH("Estimated Third Party Settlements",'Prior YTD Data Pull'!$A$1:$CB$1,0)),"")</f>
        <v>0</v>
      </c>
      <c r="AM73" s="38">
        <f>IFERROR(INDEX('Prior YTD Data Pull'!$A$2:$CB$605,MATCH('Prior YTD Data Table'!$C73,'Prior YTD Data Pull'!$A$2:$A$605,0),MATCH("Current Liabilities due to Affiliates",'Prior YTD Data Pull'!$A$1:$CB$1,0)),"")</f>
        <v>0</v>
      </c>
      <c r="AN73" s="38">
        <f>IFERROR(INDEX('Prior YTD Data Pull'!$A$2:$CB$605,MATCH('Prior YTD Data Table'!$C73,'Prior YTD Data Pull'!$A$2:$A$605,0),MATCH("Short Term Investments",'Prior YTD Data Pull'!$A$1:$CB$1,0)),"")</f>
        <v>0</v>
      </c>
      <c r="AO73" s="38">
        <f>IFERROR(INDEX('Prior YTD Data Pull'!$A$2:$CB$605,MATCH('Prior YTD Data Table'!$C73,'Prior YTD Data Pull'!$A$2:$A$605,0),MATCH("Cash and Cash Equivalents",'Prior YTD Data Pull'!$A$1:$CB$1,0)),"")</f>
        <v>0</v>
      </c>
      <c r="AP73" s="38">
        <f>IFERROR(INDEX('Prior YTD Data Pull'!$A$2:$CB$605,MATCH('Prior YTD Data Table'!$C73,'Prior YTD Data Pull'!$A$2:$A$605,0),MATCH("Interest Expense",'Prior YTD Data Pull'!$A$1:$CB$1,0)),"")</f>
        <v>4853</v>
      </c>
      <c r="AQ73" s="38">
        <f>IFERROR(INDEX('Prior YTD Data Pull'!$A$2:$CB$605,MATCH('Prior YTD Data Table'!$C73,'Prior YTD Data Pull'!$A$2:$A$605,0),MATCH("Long Term Debt Net of Current Portion",'Prior YTD Data Pull'!$A$1:$CB$1,0)),"")</f>
        <v>0</v>
      </c>
      <c r="AR73" s="38">
        <f>IFERROR(INDEX('Prior YTD Data Pull'!$A$2:$CB$605,MATCH('Prior YTD Data Table'!$C73,'Prior YTD Data Pull'!$A$2:$A$605,0),MATCH("Total Assets",'Prior YTD Data Pull'!$A$1:$CB$1,0)),"")</f>
        <v>0</v>
      </c>
      <c r="AS73" s="38">
        <f>IFERROR(INDEX('Prior YTD Data Pull'!$A$2:$CB$605,MATCH('Prior YTD Data Table'!$C73,'Prior YTD Data Pull'!$A$2:$A$605,0),MATCH("Long Term Debt Net of Current Portion",'Prior YTD Data Pull'!$A$1:$CB$1,0)),"")</f>
        <v>0</v>
      </c>
      <c r="AT73" s="38">
        <f>IFERROR(INDEX('Prior YTD Data Pull'!$A$2:$CB$605,MATCH('Prior YTD Data Table'!$C73,'Prior YTD Data Pull'!$A$2:$A$605,0),MATCH("Net Unrestricted Assets",'Prior YTD Data Pull'!$A$1:$CB$1,0)),"")</f>
        <v>0</v>
      </c>
      <c r="AU73" s="38">
        <f>IFERROR(INDEX('Prior YTD Data Pull'!$A$2:$CB$605,MATCH('Prior YTD Data Table'!$C73,'Prior YTD Data Pull'!$A$2:$A$605,0),MATCH("Unrealized Gains/Losses",'Prior YTD Data Pull'!$A$1:$CB$1,0)),"")</f>
        <v>-4765573</v>
      </c>
      <c r="AV73" s="38">
        <f>IFERROR(INDEX('Prior YTD Data Pull'!$A$2:$CB$605,MATCH('Prior YTD Data Table'!$C73,'Prior YTD Data Pull'!$A$2:$A$605,0),MATCH("Salary and Benefit Expense",'Prior YTD Data Pull'!$A$1:$CB$1,0)),"")</f>
        <v>248741904</v>
      </c>
      <c r="AW73" s="47"/>
      <c r="AX73" s="47"/>
      <c r="AY73" s="47"/>
      <c r="AZ73" s="47"/>
    </row>
    <row r="74" spans="1:52" ht="34.200000000000003" x14ac:dyDescent="0.3">
      <c r="A74" s="14" t="str">
        <f>IFERROR(INDEX('Static Data Tab'!$N$2:$N$610,MATCH(D74,'Static Data Tab'!$D$2:$D$610,0)), "")</f>
        <v>Heywood Healthcare</v>
      </c>
      <c r="B74" s="57" t="s">
        <v>137</v>
      </c>
      <c r="C74" s="57">
        <v>10976</v>
      </c>
      <c r="D74" s="57">
        <v>12807</v>
      </c>
      <c r="E74" s="14" t="str">
        <f>IFERROR(INDEX('Prior YTD Data Pull'!$A$1:$CB$605,MATCH('Prior YTD Data Table'!$C74,'Prior YTD Data Pull'!$A$1:$A$605,0),MATCH("Organization Type",'Prior YTD Data Pull'!$A$1:$CB$1,0)),"")</f>
        <v>PhysicianOrganization</v>
      </c>
      <c r="F74" s="14" t="str">
        <f>IFERROR(INDEX('Static Data Tab'!$E$2:$E$610,MATCH('Prior YTD Data Table'!$C74,'Static Data Tab'!$B$2:$B$610,0)), "-")</f>
        <v>-</v>
      </c>
      <c r="G74" s="46" t="str">
        <f>IFERROR(INDEX('Static Data Tab'!$J$2:$J$610,MATCH('Prior YTD Data Table'!$C74,'Static Data Tab'!$B$2:$B$610,0)), "")</f>
        <v/>
      </c>
      <c r="H74" s="14" t="str">
        <f>IFERROR(INDEX('Static Data Tab'!$F$2:$F$610,MATCH('Prior YTD Data Table'!$C74,'Static Data Tab'!$B$2:$B$610,0)), "")</f>
        <v/>
      </c>
      <c r="I74" s="14" t="str">
        <f>IFERROR(INDEX('Static Data Tab'!$G$2:$G$610,MATCH('Prior YTD Data Table'!$C74,'Static Data Tab'!$B$2:$B$610,0)), "")</f>
        <v/>
      </c>
      <c r="J74" s="14" t="str">
        <f>IFERROR(INDEX('Prior YTD Data Pull'!$A$2:$CB$605,MATCH('Prior YTD Data Table'!$C74,'Prior YTD Data Pull'!$A$2:$A$605,0),MATCH("Quarter Range",'Prior YTD Data Pull'!$A$1:$CB$1,0)),"")</f>
        <v xml:space="preserve">10/01/2024-03/31/2025
</v>
      </c>
      <c r="K74" s="37">
        <f t="shared" si="15"/>
        <v>-0.57586573098111271</v>
      </c>
      <c r="L74" s="37">
        <f t="shared" si="16"/>
        <v>0</v>
      </c>
      <c r="M74" s="37">
        <f t="shared" si="17"/>
        <v>-0.57586573098111271</v>
      </c>
      <c r="N74" s="38">
        <f t="shared" si="18"/>
        <v>-2210771</v>
      </c>
      <c r="O74" s="39" t="str">
        <f t="shared" si="19"/>
        <v/>
      </c>
      <c r="P74" s="38">
        <f>IFERROR(INDEX('Prior YTD Data Pull'!$A$2:$CB$605,MATCH('Prior YTD Data Table'!$C74,'Prior YTD Data Pull'!$A$2:$A$605,0),MATCH("Total Net Assets or Equity",'Prior YTD Data Pull'!$A$1:$CB$1,0)),"")</f>
        <v>0</v>
      </c>
      <c r="Q74" s="38">
        <f>IFERROR(INDEX('Prior YTD Data Pull'!$A$2:$CB$605,MATCH('Prior YTD Data Table'!$C74,'Prior YTD Data Pull'!$A$2:$A$605,0),MATCH("Total Operating Revenue",'Prior YTD Data Pull'!$A$1:$CB$1,0)),"")</f>
        <v>3839039</v>
      </c>
      <c r="R74" s="38">
        <f>IFERROR(INDEX('Prior YTD Data Pull'!$A$2:$CB$605,MATCH('Prior YTD Data Table'!$C74,'Prior YTD Data Pull'!$A$2:$A$605,0),MATCH("Total Unrestricted Revenue Gains and Other Support",'Prior YTD Data Pull'!$A$1:$CB$1,0)),"")</f>
        <v>3839039</v>
      </c>
      <c r="S74" s="38">
        <f>IFERROR(INDEX('Prior YTD TS Data Pull'!$J$2:$J$128,MATCH('Prior YTD Data Table'!$C74, 'Prior YTD TS Data Pull'!$A$2:$A$128,0))+INDEX('Prior YTD TS Data Pull'!$N$2:$N$128,MATCH('Prior YTD Data Table'!$C74,'Prior YTD TS Data Pull'!$A$2:$A$609,0))+INDEX('Prior YTD TS Data Pull'!$R$2:$R$128,MATCH('Prior YTD Data Table'!$C74,'Prior YTD TS Data Pull'!$A$2:$A$609,0)),"")</f>
        <v>0</v>
      </c>
      <c r="T74" s="38">
        <f>IF(INDEX('Prior YTD TS Data Pull'!$A$1:$O$609,MATCH('Prior YTD Data Table'!$C74,'Prior YTD TS Data Pull'!$A$1:$A$609,0),MATCH("Temporary RN Staffing:
Line Reported on in Standardized Financials",'Prior YTD TS Data Pull'!$A$1:$O$1,0))="66.1: Salary and Benefit Expense",'Prior YTD Data Table'!$AV74-'Prior YTD Data Table'!$S74,0)</f>
        <v>0</v>
      </c>
      <c r="U74" s="38">
        <f>IFERROR(INDEX('Prior YTD Data Pull'!$A$2:$CB$605,MATCH('Prior YTD Data Table'!$C74,'Prior YTD Data Pull'!$A$2:$A$605,0),MATCH("Total Expenses Including Nonrecurring Gains Losses",'Prior YTD Data Pull'!$A$1:$CB$1,0)),"")</f>
        <v>6049810</v>
      </c>
      <c r="V74" s="41">
        <f t="shared" si="20"/>
        <v>13930.307832866367</v>
      </c>
      <c r="W74" s="41">
        <f t="shared" si="21"/>
        <v>0</v>
      </c>
      <c r="X74" s="41">
        <f t="shared" si="13"/>
        <v>0</v>
      </c>
      <c r="Y74" s="37" t="str">
        <f t="shared" si="22"/>
        <v/>
      </c>
      <c r="Z74" s="41">
        <f t="shared" si="14"/>
        <v>0</v>
      </c>
      <c r="AA74" s="39" t="str">
        <f t="shared" si="23"/>
        <v/>
      </c>
      <c r="AB74" s="37" t="str">
        <f t="shared" si="24"/>
        <v/>
      </c>
      <c r="AC74" s="37" t="str">
        <f t="shared" si="25"/>
        <v/>
      </c>
      <c r="AD74" s="38">
        <f>IFERROR(INDEX('Prior YTD Data Pull'!$A$2:$CB$605,MATCH('Prior YTD Data Table'!$C74,'Prior YTD Data Pull'!$A$2:$A$605,0),MATCH("Net Patient Service Revenue",'Prior YTD Data Pull'!$A$1:$CB$1,0)),"")</f>
        <v>2784473</v>
      </c>
      <c r="AE74" s="38">
        <f>IFERROR(INDEX('Prior YTD Data Pull'!$A$2:$CB$605,MATCH('Prior YTD Data Table'!$C74,'Prior YTD Data Pull'!$A$2:$A$605,0),MATCH("Total Current Assets",'Prior YTD Data Pull'!$A$1:$CB$1,0)),"")</f>
        <v>0</v>
      </c>
      <c r="AF74" s="38">
        <f>IFERROR(INDEX('Prior YTD Data Pull'!$A$2:$CB$605,MATCH('Prior YTD Data Table'!$C74,'Prior YTD Data Pull'!$A$2:$A$605,0),MATCH("Total Current Liabilities",'Prior YTD Data Pull'!$A$1:$CB$1,0)),"")</f>
        <v>0</v>
      </c>
      <c r="AG74" s="38">
        <f>IFERROR(INDEX('Prior YTD Data Pull'!$A$2:$CB$605,MATCH('Prior YTD Data Table'!$C74,'Prior YTD Data Pull'!$A$2:$A$605,0),MATCH("Total Non Operating Revenue",'Prior YTD Data Pull'!$A$1:$CB$1,0)),"")</f>
        <v>0</v>
      </c>
      <c r="AH74" s="38">
        <f>IFERROR(INDEX('Prior YTD Data Pull'!$A$2:$CB$605,MATCH('Prior YTD Data Table'!$C74,'Prior Year Data Pull'!$A$2:$A$593,0),MATCH("Less Accumulated Depreciation",'Prior YTD Data Pull'!$A$1:$CB$1,0)),"")</f>
        <v>343061691</v>
      </c>
      <c r="AI74" s="38">
        <f>IFERROR(INDEX('Prior YTD Data Pull'!$A$2:$CB$605,MATCH('Prior YTD Data Table'!$C74,'Prior YTD Data Pull'!$A$2:$A$605,0),MATCH("Depreciation and Amortization Expense",'Prior YTD Data Pull'!$A$1:$CB$1,0)),"")</f>
        <v>24627</v>
      </c>
      <c r="AJ74" s="38">
        <f>IFERROR(INDEX('Prior YTD Data Pull'!$A$2:$CB$605,MATCH('Prior YTD Data Table'!$C74,'Prior YTD Data Pull'!$A$2:$A$605,0),MATCH("Net Patient Accounts Receivable",'Prior YTD Data Pull'!$A$1:$CB$1,0)),"")</f>
        <v>0</v>
      </c>
      <c r="AK74" s="14" t="str">
        <f>IF('Prior YTD Data Pull'!$H74 = 6, "183", IF('Prior YTD Data Pull'!$H74 = 3, "93",""))</f>
        <v>183</v>
      </c>
      <c r="AL74" s="38">
        <f>IFERROR(INDEX('Prior YTD Data Pull'!$A$2:$CB$605,MATCH('Prior YTD Data Table'!$C74,'Prior YTD Data Pull'!$A$2:$A$605,0),MATCH("Estimated Third Party Settlements",'Prior YTD Data Pull'!$A$1:$CB$1,0)),"")</f>
        <v>0</v>
      </c>
      <c r="AM74" s="38">
        <f>IFERROR(INDEX('Prior YTD Data Pull'!$A$2:$CB$605,MATCH('Prior YTD Data Table'!$C74,'Prior YTD Data Pull'!$A$2:$A$605,0),MATCH("Current Liabilities due to Affiliates",'Prior YTD Data Pull'!$A$1:$CB$1,0)),"")</f>
        <v>0</v>
      </c>
      <c r="AN74" s="38">
        <f>IFERROR(INDEX('Prior YTD Data Pull'!$A$2:$CB$605,MATCH('Prior YTD Data Table'!$C74,'Prior YTD Data Pull'!$A$2:$A$605,0),MATCH("Short Term Investments",'Prior YTD Data Pull'!$A$1:$CB$1,0)),"")</f>
        <v>0</v>
      </c>
      <c r="AO74" s="38">
        <f>IFERROR(INDEX('Prior YTD Data Pull'!$A$2:$CB$605,MATCH('Prior YTD Data Table'!$C74,'Prior YTD Data Pull'!$A$2:$A$605,0),MATCH("Cash and Cash Equivalents",'Prior YTD Data Pull'!$A$1:$CB$1,0)),"")</f>
        <v>0</v>
      </c>
      <c r="AP74" s="38">
        <f>IFERROR(INDEX('Prior YTD Data Pull'!$A$2:$CB$605,MATCH('Prior YTD Data Table'!$C74,'Prior YTD Data Pull'!$A$2:$A$605,0),MATCH("Interest Expense",'Prior YTD Data Pull'!$A$1:$CB$1,0)),"")</f>
        <v>0</v>
      </c>
      <c r="AQ74" s="38">
        <f>IFERROR(INDEX('Prior YTD Data Pull'!$A$2:$CB$605,MATCH('Prior YTD Data Table'!$C74,'Prior YTD Data Pull'!$A$2:$A$605,0),MATCH("Long Term Debt Net of Current Portion",'Prior YTD Data Pull'!$A$1:$CB$1,0)),"")</f>
        <v>0</v>
      </c>
      <c r="AR74" s="38">
        <f>IFERROR(INDEX('Prior YTD Data Pull'!$A$2:$CB$605,MATCH('Prior YTD Data Table'!$C74,'Prior YTD Data Pull'!$A$2:$A$605,0),MATCH("Total Assets",'Prior YTD Data Pull'!$A$1:$CB$1,0)),"")</f>
        <v>0</v>
      </c>
      <c r="AS74" s="38">
        <f>IFERROR(INDEX('Prior YTD Data Pull'!$A$2:$CB$605,MATCH('Prior YTD Data Table'!$C74,'Prior YTD Data Pull'!$A$2:$A$605,0),MATCH("Long Term Debt Net of Current Portion",'Prior YTD Data Pull'!$A$1:$CB$1,0)),"")</f>
        <v>0</v>
      </c>
      <c r="AT74" s="38">
        <f>IFERROR(INDEX('Prior YTD Data Pull'!$A$2:$CB$605,MATCH('Prior YTD Data Table'!$C74,'Prior YTD Data Pull'!$A$2:$A$605,0),MATCH("Net Unrestricted Assets",'Prior YTD Data Pull'!$A$1:$CB$1,0)),"")</f>
        <v>0</v>
      </c>
      <c r="AU74" s="38">
        <f>IFERROR(INDEX('Prior YTD Data Pull'!$A$2:$CB$605,MATCH('Prior YTD Data Table'!$C74,'Prior YTD Data Pull'!$A$2:$A$605,0),MATCH("Unrealized Gains/Losses",'Prior YTD Data Pull'!$A$1:$CB$1,0)),"")</f>
        <v>0</v>
      </c>
      <c r="AV74" s="38">
        <f>IFERROR(INDEX('Prior YTD Data Pull'!$A$2:$CB$605,MATCH('Prior YTD Data Table'!$C74,'Prior YTD Data Pull'!$A$2:$A$605,0),MATCH("Salary and Benefit Expense",'Prior YTD Data Pull'!$A$1:$CB$1,0)),"")</f>
        <v>7009691</v>
      </c>
      <c r="AW74" s="38"/>
      <c r="AX74" s="38"/>
      <c r="AY74" s="38"/>
      <c r="AZ74" s="38"/>
    </row>
    <row r="75" spans="1:52" ht="34.200000000000003" x14ac:dyDescent="0.3">
      <c r="A75" s="14" t="str">
        <f>IFERROR(INDEX('Static Data Tab'!$N$2:$N$610,MATCH(D75,'Static Data Tab'!$D$2:$D$610,0)), "")</f>
        <v>Tenet Healthcare</v>
      </c>
      <c r="B75" s="14" t="s">
        <v>616</v>
      </c>
      <c r="C75" s="14">
        <v>11394</v>
      </c>
      <c r="D75" s="14">
        <v>3888</v>
      </c>
      <c r="E75" s="14" t="str">
        <f>IFERROR(INDEX('Prior YTD Data Pull'!$A$1:$CB$605,MATCH('Prior YTD Data Table'!$C75,'Prior YTD Data Pull'!$A$1:$A$605,0),MATCH("Organization Type",'Prior YTD Data Pull'!$A$1:$CB$1,0)),"")</f>
        <v>PhysicianOrganization</v>
      </c>
      <c r="F75" s="14" t="str">
        <f>IFERROR(INDEX('Static Data Tab'!$E$2:$E$610,MATCH('Prior YTD Data Table'!$C75,'Static Data Tab'!$B$2:$B$610,0)), "-")</f>
        <v>-</v>
      </c>
      <c r="G75" s="46" t="str">
        <f>IFERROR(INDEX('Static Data Tab'!$J$2:$J$610,MATCH('Prior YTD Data Table'!$C75,'Static Data Tab'!$B$2:$B$610,0)), "")</f>
        <v/>
      </c>
      <c r="H75" s="14" t="str">
        <f>IFERROR(INDEX('Static Data Tab'!$F$2:$F$610,MATCH('Prior YTD Data Table'!$C75,'Static Data Tab'!$B$2:$B$610,0)), "")</f>
        <v/>
      </c>
      <c r="I75" s="14" t="str">
        <f>IFERROR(INDEX('Static Data Tab'!$G$2:$G$610,MATCH('Prior YTD Data Table'!$C75,'Static Data Tab'!$B$2:$B$610,0)), "")</f>
        <v/>
      </c>
      <c r="J75" s="14" t="str">
        <f>IFERROR(INDEX('Prior YTD Data Pull'!$A$2:$CB$605,MATCH('Prior YTD Data Table'!$C75,'Prior YTD Data Pull'!$A$2:$A$605,0),MATCH("Quarter Range",'Prior YTD Data Pull'!$A$1:$CB$1,0)),"")</f>
        <v xml:space="preserve">01/01/2025-03/31/2025
</v>
      </c>
      <c r="K75" s="37">
        <f t="shared" si="15"/>
        <v>-0.31048989623491485</v>
      </c>
      <c r="L75" s="37">
        <f t="shared" si="16"/>
        <v>0</v>
      </c>
      <c r="M75" s="37">
        <f t="shared" si="17"/>
        <v>-0.31048989623491485</v>
      </c>
      <c r="N75" s="38">
        <f t="shared" si="18"/>
        <v>-506586</v>
      </c>
      <c r="O75" s="39" t="str">
        <f t="shared" si="19"/>
        <v/>
      </c>
      <c r="P75" s="38">
        <f>IFERROR(INDEX('Prior YTD Data Pull'!$A$2:$CB$605,MATCH('Prior YTD Data Table'!$C75,'Prior YTD Data Pull'!$A$2:$A$605,0),MATCH("Total Net Assets or Equity",'Prior YTD Data Pull'!$A$1:$CB$1,0)),"")</f>
        <v>0</v>
      </c>
      <c r="Q75" s="38">
        <f>IFERROR(INDEX('Prior YTD Data Pull'!$A$2:$CB$605,MATCH('Prior YTD Data Table'!$C75,'Prior YTD Data Pull'!$A$2:$A$605,0),MATCH("Total Operating Revenue",'Prior YTD Data Pull'!$A$1:$CB$1,0)),"")</f>
        <v>1631570</v>
      </c>
      <c r="R75" s="38">
        <f>IFERROR(INDEX('Prior YTD Data Pull'!$A$2:$CB$605,MATCH('Prior YTD Data Table'!$C75,'Prior YTD Data Pull'!$A$2:$A$605,0),MATCH("Total Unrestricted Revenue Gains and Other Support",'Prior YTD Data Pull'!$A$1:$CB$1,0)),"")</f>
        <v>1631570</v>
      </c>
      <c r="S75" s="38" t="str">
        <f>IFERROR(INDEX('Prior YTD TS Data Pull'!$J$2:$J$128,MATCH('Prior YTD Data Table'!$C75, 'Prior YTD TS Data Pull'!$A$2:$A$128,0))+INDEX('Prior YTD TS Data Pull'!$N$2:$N$128,MATCH('Prior YTD Data Table'!$C75,'Prior YTD TS Data Pull'!$A$2:$A$609,0))+INDEX('Prior YTD TS Data Pull'!$R$2:$R$128,MATCH('Prior YTD Data Table'!$C75,'Prior YTD TS Data Pull'!$A$2:$A$609,0)),"")</f>
        <v/>
      </c>
      <c r="T75" s="38" t="e">
        <f>IF(INDEX('Prior YTD TS Data Pull'!$A$1:$O$609,MATCH('Prior YTD Data Table'!$C75,'Prior YTD TS Data Pull'!$A$1:$A$609,0),MATCH("Temporary RN Staffing:
Line Reported on in Standardized Financials",'Prior YTD TS Data Pull'!$A$1:$O$1,0))="66.1: Salary and Benefit Expense",'Prior YTD Data Table'!$AV75-'Prior YTD Data Table'!$S75,0)</f>
        <v>#N/A</v>
      </c>
      <c r="U75" s="38">
        <f>IFERROR(INDEX('Prior YTD Data Pull'!$A$2:$CB$605,MATCH('Prior YTD Data Table'!$C75,'Prior YTD Data Pull'!$A$2:$A$605,0),MATCH("Total Expenses Including Nonrecurring Gains Losses",'Prior YTD Data Pull'!$A$1:$CB$1,0)),"")</f>
        <v>2138156</v>
      </c>
      <c r="V75" s="41" t="str">
        <f t="shared" si="20"/>
        <v/>
      </c>
      <c r="W75" s="41">
        <f t="shared" si="21"/>
        <v>0</v>
      </c>
      <c r="X75" s="41">
        <f t="shared" si="13"/>
        <v>0</v>
      </c>
      <c r="Y75" s="37" t="str">
        <f t="shared" si="22"/>
        <v/>
      </c>
      <c r="Z75" s="41">
        <f t="shared" si="14"/>
        <v>0</v>
      </c>
      <c r="AA75" s="39">
        <f t="shared" si="23"/>
        <v>-117.5965459342768</v>
      </c>
      <c r="AB75" s="37" t="str">
        <f t="shared" si="24"/>
        <v/>
      </c>
      <c r="AC75" s="37" t="str">
        <f t="shared" si="25"/>
        <v/>
      </c>
      <c r="AD75" s="38">
        <f>IFERROR(INDEX('Prior YTD Data Pull'!$A$2:$CB$605,MATCH('Prior YTD Data Table'!$C75,'Prior YTD Data Pull'!$A$2:$A$605,0),MATCH("Net Patient Service Revenue",'Prior YTD Data Pull'!$A$1:$CB$1,0)),"")</f>
        <v>789429</v>
      </c>
      <c r="AE75" s="38">
        <f>IFERROR(INDEX('Prior YTD Data Pull'!$A$2:$CB$605,MATCH('Prior YTD Data Table'!$C75,'Prior YTD Data Pull'!$A$2:$A$605,0),MATCH("Total Current Assets",'Prior YTD Data Pull'!$A$1:$CB$1,0)),"")</f>
        <v>0</v>
      </c>
      <c r="AF75" s="38">
        <f>IFERROR(INDEX('Prior YTD Data Pull'!$A$2:$CB$605,MATCH('Prior YTD Data Table'!$C75,'Prior YTD Data Pull'!$A$2:$A$605,0),MATCH("Total Current Liabilities",'Prior YTD Data Pull'!$A$1:$CB$1,0)),"")</f>
        <v>0</v>
      </c>
      <c r="AG75" s="38">
        <f>IFERROR(INDEX('Prior YTD Data Pull'!$A$2:$CB$605,MATCH('Prior YTD Data Table'!$C75,'Prior YTD Data Pull'!$A$2:$A$605,0),MATCH("Total Non Operating Revenue",'Prior YTD Data Pull'!$A$1:$CB$1,0)),"")</f>
        <v>0</v>
      </c>
      <c r="AH75" s="38" t="str">
        <f>IFERROR(INDEX('Prior YTD Data Pull'!$A$2:$CB$605,MATCH('Prior YTD Data Table'!$C75,'Prior Year Data Pull'!$A$2:$A$593,0),MATCH("Less Accumulated Depreciation",'Prior YTD Data Pull'!$A$1:$CB$1,0)),"")</f>
        <v/>
      </c>
      <c r="AI75" s="38">
        <f>IFERROR(INDEX('Prior YTD Data Pull'!$A$2:$CB$605,MATCH('Prior YTD Data Table'!$C75,'Prior YTD Data Pull'!$A$2:$A$605,0),MATCH("Depreciation and Amortization Expense",'Prior YTD Data Pull'!$A$1:$CB$1,0)),"")</f>
        <v>12157</v>
      </c>
      <c r="AJ75" s="38">
        <f>IFERROR(INDEX('Prior YTD Data Pull'!$A$2:$CB$605,MATCH('Prior YTD Data Table'!$C75,'Prior YTD Data Pull'!$A$2:$A$605,0),MATCH("Net Patient Accounts Receivable",'Prior YTD Data Pull'!$A$1:$CB$1,0)),"")</f>
        <v>0</v>
      </c>
      <c r="AK75" s="14" t="str">
        <f>IF('Prior YTD Data Pull'!$H75 = 6, "183", IF('Prior YTD Data Pull'!$H75 = 3, "93",""))</f>
        <v>183</v>
      </c>
      <c r="AL75" s="38">
        <f>IFERROR(INDEX('Prior YTD Data Pull'!$A$2:$CB$605,MATCH('Prior YTD Data Table'!$C75,'Prior YTD Data Pull'!$A$2:$A$605,0),MATCH("Estimated Third Party Settlements",'Prior YTD Data Pull'!$A$1:$CB$1,0)),"")</f>
        <v>0</v>
      </c>
      <c r="AM75" s="38">
        <f>IFERROR(INDEX('Prior YTD Data Pull'!$A$2:$CB$605,MATCH('Prior YTD Data Table'!$C75,'Prior YTD Data Pull'!$A$2:$A$605,0),MATCH("Current Liabilities due to Affiliates",'Prior YTD Data Pull'!$A$1:$CB$1,0)),"")</f>
        <v>0</v>
      </c>
      <c r="AN75" s="38">
        <f>IFERROR(INDEX('Prior YTD Data Pull'!$A$2:$CB$605,MATCH('Prior YTD Data Table'!$C75,'Prior YTD Data Pull'!$A$2:$A$605,0),MATCH("Short Term Investments",'Prior YTD Data Pull'!$A$1:$CB$1,0)),"")</f>
        <v>0</v>
      </c>
      <c r="AO75" s="38">
        <f>IFERROR(INDEX('Prior YTD Data Pull'!$A$2:$CB$605,MATCH('Prior YTD Data Table'!$C75,'Prior YTD Data Pull'!$A$2:$A$605,0),MATCH("Cash and Cash Equivalents",'Prior YTD Data Pull'!$A$1:$CB$1,0)),"")</f>
        <v>0</v>
      </c>
      <c r="AP75" s="38">
        <f>IFERROR(INDEX('Prior YTD Data Pull'!$A$2:$CB$605,MATCH('Prior YTD Data Table'!$C75,'Prior YTD Data Pull'!$A$2:$A$605,0),MATCH("Interest Expense",'Prior YTD Data Pull'!$A$1:$CB$1,0)),"")</f>
        <v>4169</v>
      </c>
      <c r="AQ75" s="38">
        <f>IFERROR(INDEX('Prior YTD Data Pull'!$A$2:$CB$605,MATCH('Prior YTD Data Table'!$C75,'Prior YTD Data Pull'!$A$2:$A$605,0),MATCH("Long Term Debt Net of Current Portion",'Prior YTD Data Pull'!$A$1:$CB$1,0)),"")</f>
        <v>0</v>
      </c>
      <c r="AR75" s="38">
        <f>IFERROR(INDEX('Prior YTD Data Pull'!$A$2:$CB$605,MATCH('Prior YTD Data Table'!$C75,'Prior YTD Data Pull'!$A$2:$A$605,0),MATCH("Total Assets",'Prior YTD Data Pull'!$A$1:$CB$1,0)),"")</f>
        <v>0</v>
      </c>
      <c r="AS75" s="38">
        <f>IFERROR(INDEX('Prior YTD Data Pull'!$A$2:$CB$605,MATCH('Prior YTD Data Table'!$C75,'Prior YTD Data Pull'!$A$2:$A$605,0),MATCH("Long Term Debt Net of Current Portion",'Prior YTD Data Pull'!$A$1:$CB$1,0)),"")</f>
        <v>0</v>
      </c>
      <c r="AT75" s="38">
        <f>IFERROR(INDEX('Prior YTD Data Pull'!$A$2:$CB$605,MATCH('Prior YTD Data Table'!$C75,'Prior YTD Data Pull'!$A$2:$A$605,0),MATCH("Net Unrestricted Assets",'Prior YTD Data Pull'!$A$1:$CB$1,0)),"")</f>
        <v>0</v>
      </c>
      <c r="AU75" s="38">
        <f>IFERROR(INDEX('Prior YTD Data Pull'!$A$2:$CB$605,MATCH('Prior YTD Data Table'!$C75,'Prior YTD Data Pull'!$A$2:$A$605,0),MATCH("Unrealized Gains/Losses",'Prior YTD Data Pull'!$A$1:$CB$1,0)),"")</f>
        <v>0</v>
      </c>
      <c r="AV75" s="38">
        <f>IFERROR(INDEX('Prior YTD Data Pull'!$A$2:$CB$605,MATCH('Prior YTD Data Table'!$C75,'Prior YTD Data Pull'!$A$2:$A$605,0),MATCH("Salary and Benefit Expense",'Prior YTD Data Pull'!$A$1:$CB$1,0)),"")</f>
        <v>2059311</v>
      </c>
      <c r="AW75" s="47"/>
      <c r="AX75" s="47"/>
      <c r="AY75" s="47"/>
      <c r="AZ75" s="47"/>
    </row>
    <row r="76" spans="1:52" ht="34.200000000000003" x14ac:dyDescent="0.3">
      <c r="A76" s="14" t="str">
        <f>IFERROR(INDEX('Static Data Tab'!$N$2:$N$610,MATCH(D76,'Static Data Tab'!$D$2:$D$610,0)), "")</f>
        <v>Lawrence General Hospital and Affiliates</v>
      </c>
      <c r="B76" s="57" t="s">
        <v>140</v>
      </c>
      <c r="C76" s="57">
        <v>13118</v>
      </c>
      <c r="D76" s="57">
        <v>13156</v>
      </c>
      <c r="E76" s="14" t="str">
        <f>IFERROR(INDEX('Prior YTD Data Pull'!$A$1:$CB$605,MATCH('Prior YTD Data Table'!$C76,'Prior YTD Data Pull'!$A$1:$A$605,0),MATCH("Organization Type",'Prior YTD Data Pull'!$A$1:$CB$1,0)),"")</f>
        <v>PhysicianOrganization</v>
      </c>
      <c r="F76" s="14" t="str">
        <f>IFERROR(INDEX('Static Data Tab'!$E$2:$E$610,MATCH('Prior YTD Data Table'!$C76,'Static Data Tab'!$B$2:$B$610,0)), "-")</f>
        <v>-</v>
      </c>
      <c r="G76" s="46" t="str">
        <f>IFERROR(INDEX('Static Data Tab'!$J$2:$J$610,MATCH('Prior YTD Data Table'!$C76,'Static Data Tab'!$B$2:$B$610,0)), "")</f>
        <v/>
      </c>
      <c r="H76" s="14" t="str">
        <f>IFERROR(INDEX('Static Data Tab'!$F$2:$F$610,MATCH('Prior YTD Data Table'!$C76,'Static Data Tab'!$B$2:$B$610,0)), "")</f>
        <v/>
      </c>
      <c r="I76" s="14" t="str">
        <f>IFERROR(INDEX('Static Data Tab'!$G$2:$G$610,MATCH('Prior YTD Data Table'!$C76,'Static Data Tab'!$B$2:$B$610,0)), "")</f>
        <v/>
      </c>
      <c r="J76" s="14" t="str">
        <f>IFERROR(INDEX('Prior YTD Data Pull'!$A$2:$CB$605,MATCH('Prior YTD Data Table'!$C76,'Prior YTD Data Pull'!$A$2:$A$605,0),MATCH("Quarter Range",'Prior YTD Data Pull'!$A$1:$CB$1,0)),"")</f>
        <v xml:space="preserve">10/01/2024-03/31/2025
</v>
      </c>
      <c r="K76" s="37">
        <f t="shared" si="15"/>
        <v>-0.40182318043698451</v>
      </c>
      <c r="L76" s="37">
        <f t="shared" si="16"/>
        <v>0</v>
      </c>
      <c r="M76" s="37">
        <f t="shared" si="17"/>
        <v>-0.40182318043698451</v>
      </c>
      <c r="N76" s="38">
        <f t="shared" si="18"/>
        <v>-5554000</v>
      </c>
      <c r="O76" s="39" t="str">
        <f t="shared" si="19"/>
        <v/>
      </c>
      <c r="P76" s="38">
        <f>IFERROR(INDEX('Prior YTD Data Pull'!$A$2:$CB$605,MATCH('Prior YTD Data Table'!$C76,'Prior YTD Data Pull'!$A$2:$A$605,0),MATCH("Total Net Assets or Equity",'Prior YTD Data Pull'!$A$1:$CB$1,0)),"")</f>
        <v>0</v>
      </c>
      <c r="Q76" s="38">
        <f>IFERROR(INDEX('Prior YTD Data Pull'!$A$2:$CB$605,MATCH('Prior YTD Data Table'!$C76,'Prior YTD Data Pull'!$A$2:$A$605,0),MATCH("Total Operating Revenue",'Prior YTD Data Pull'!$A$1:$CB$1,0)),"")</f>
        <v>13822000</v>
      </c>
      <c r="R76" s="38">
        <f>IFERROR(INDEX('Prior YTD Data Pull'!$A$2:$CB$605,MATCH('Prior YTD Data Table'!$C76,'Prior YTD Data Pull'!$A$2:$A$605,0),MATCH("Total Unrestricted Revenue Gains and Other Support",'Prior YTD Data Pull'!$A$1:$CB$1,0)),"")</f>
        <v>13822000</v>
      </c>
      <c r="S76" s="38" t="str">
        <f>IFERROR(INDEX('Prior YTD TS Data Pull'!$J$2:$J$128,MATCH('Prior YTD Data Table'!$C76, 'Prior YTD TS Data Pull'!$A$2:$A$128,0))+INDEX('Prior YTD TS Data Pull'!$N$2:$N$128,MATCH('Prior YTD Data Table'!$C76,'Prior YTD TS Data Pull'!$A$2:$A$609,0))+INDEX('Prior YTD TS Data Pull'!$R$2:$R$128,MATCH('Prior YTD Data Table'!$C76,'Prior YTD TS Data Pull'!$A$2:$A$609,0)),"")</f>
        <v/>
      </c>
      <c r="T76" s="38" t="e">
        <f>IF(INDEX('Prior YTD TS Data Pull'!$A$1:$O$609,MATCH('Prior YTD Data Table'!$C76,'Prior YTD TS Data Pull'!$A$1:$A$609,0),MATCH("Temporary RN Staffing:
Line Reported on in Standardized Financials",'Prior YTD TS Data Pull'!$A$1:$O$1,0))="66.1: Salary and Benefit Expense",'Prior YTD Data Table'!$AV76-'Prior YTD Data Table'!$S76,0)</f>
        <v>#N/A</v>
      </c>
      <c r="U76" s="38">
        <f>IFERROR(INDEX('Prior YTD Data Pull'!$A$2:$CB$605,MATCH('Prior YTD Data Table'!$C76,'Prior YTD Data Pull'!$A$2:$A$605,0),MATCH("Total Expenses Including Nonrecurring Gains Losses",'Prior YTD Data Pull'!$A$1:$CB$1,0)),"")</f>
        <v>19376000</v>
      </c>
      <c r="V76" s="41">
        <f t="shared" si="20"/>
        <v>1835.423409090909</v>
      </c>
      <c r="W76" s="41">
        <f t="shared" si="21"/>
        <v>0</v>
      </c>
      <c r="X76" s="41">
        <f t="shared" si="13"/>
        <v>0</v>
      </c>
      <c r="Y76" s="37" t="str">
        <f t="shared" si="22"/>
        <v/>
      </c>
      <c r="Z76" s="41">
        <f t="shared" si="14"/>
        <v>0</v>
      </c>
      <c r="AA76" s="39" t="str">
        <f t="shared" si="23"/>
        <v/>
      </c>
      <c r="AB76" s="37" t="str">
        <f t="shared" si="24"/>
        <v/>
      </c>
      <c r="AC76" s="37" t="str">
        <f t="shared" si="25"/>
        <v/>
      </c>
      <c r="AD76" s="38">
        <f>IFERROR(INDEX('Prior YTD Data Pull'!$A$2:$CB$605,MATCH('Prior YTD Data Table'!$C76,'Prior YTD Data Pull'!$A$2:$A$605,0),MATCH("Net Patient Service Revenue",'Prior YTD Data Pull'!$A$1:$CB$1,0)),"")</f>
        <v>6744000</v>
      </c>
      <c r="AE76" s="38">
        <f>IFERROR(INDEX('Prior YTD Data Pull'!$A$2:$CB$605,MATCH('Prior YTD Data Table'!$C76,'Prior YTD Data Pull'!$A$2:$A$605,0),MATCH("Total Current Assets",'Prior YTD Data Pull'!$A$1:$CB$1,0)),"")</f>
        <v>0</v>
      </c>
      <c r="AF76" s="38">
        <f>IFERROR(INDEX('Prior YTD Data Pull'!$A$2:$CB$605,MATCH('Prior YTD Data Table'!$C76,'Prior YTD Data Pull'!$A$2:$A$605,0),MATCH("Total Current Liabilities",'Prior YTD Data Pull'!$A$1:$CB$1,0)),"")</f>
        <v>0</v>
      </c>
      <c r="AG76" s="38">
        <f>IFERROR(INDEX('Prior YTD Data Pull'!$A$2:$CB$605,MATCH('Prior YTD Data Table'!$C76,'Prior YTD Data Pull'!$A$2:$A$605,0),MATCH("Total Non Operating Revenue",'Prior YTD Data Pull'!$A$1:$CB$1,0)),"")</f>
        <v>0</v>
      </c>
      <c r="AH76" s="38">
        <f>IFERROR(INDEX('Prior YTD Data Pull'!$A$2:$CB$605,MATCH('Prior YTD Data Table'!$C76,'Prior Year Data Pull'!$A$2:$A$593,0),MATCH("Less Accumulated Depreciation",'Prior YTD Data Pull'!$A$1:$CB$1,0)),"")</f>
        <v>161517260</v>
      </c>
      <c r="AI76" s="38">
        <f>IFERROR(INDEX('Prior YTD Data Pull'!$A$2:$CB$605,MATCH('Prior YTD Data Table'!$C76,'Prior YTD Data Pull'!$A$2:$A$605,0),MATCH("Depreciation and Amortization Expense",'Prior YTD Data Pull'!$A$1:$CB$1,0)),"")</f>
        <v>88000</v>
      </c>
      <c r="AJ76" s="38">
        <f>IFERROR(INDEX('Prior YTD Data Pull'!$A$2:$CB$605,MATCH('Prior YTD Data Table'!$C76,'Prior YTD Data Pull'!$A$2:$A$605,0),MATCH("Net Patient Accounts Receivable",'Prior YTD Data Pull'!$A$1:$CB$1,0)),"")</f>
        <v>0</v>
      </c>
      <c r="AK76" s="14" t="str">
        <f>IF('Prior YTD Data Pull'!$H76 = 6, "183", IF('Prior YTD Data Pull'!$H76 = 3, "93",""))</f>
        <v>183</v>
      </c>
      <c r="AL76" s="38">
        <f>IFERROR(INDEX('Prior YTD Data Pull'!$A$2:$CB$605,MATCH('Prior YTD Data Table'!$C76,'Prior YTD Data Pull'!$A$2:$A$605,0),MATCH("Estimated Third Party Settlements",'Prior YTD Data Pull'!$A$1:$CB$1,0)),"")</f>
        <v>0</v>
      </c>
      <c r="AM76" s="38">
        <f>IFERROR(INDEX('Prior YTD Data Pull'!$A$2:$CB$605,MATCH('Prior YTD Data Table'!$C76,'Prior YTD Data Pull'!$A$2:$A$605,0),MATCH("Current Liabilities due to Affiliates",'Prior YTD Data Pull'!$A$1:$CB$1,0)),"")</f>
        <v>0</v>
      </c>
      <c r="AN76" s="38">
        <f>IFERROR(INDEX('Prior YTD Data Pull'!$A$2:$CB$605,MATCH('Prior YTD Data Table'!$C76,'Prior YTD Data Pull'!$A$2:$A$605,0),MATCH("Short Term Investments",'Prior YTD Data Pull'!$A$1:$CB$1,0)),"")</f>
        <v>0</v>
      </c>
      <c r="AO76" s="38">
        <f>IFERROR(INDEX('Prior YTD Data Pull'!$A$2:$CB$605,MATCH('Prior YTD Data Table'!$C76,'Prior YTD Data Pull'!$A$2:$A$605,0),MATCH("Cash and Cash Equivalents",'Prior YTD Data Pull'!$A$1:$CB$1,0)),"")</f>
        <v>0</v>
      </c>
      <c r="AP76" s="38">
        <f>IFERROR(INDEX('Prior YTD Data Pull'!$A$2:$CB$605,MATCH('Prior YTD Data Table'!$C76,'Prior YTD Data Pull'!$A$2:$A$605,0),MATCH("Interest Expense",'Prior YTD Data Pull'!$A$1:$CB$1,0)),"")</f>
        <v>0</v>
      </c>
      <c r="AQ76" s="38">
        <f>IFERROR(INDEX('Prior YTD Data Pull'!$A$2:$CB$605,MATCH('Prior YTD Data Table'!$C76,'Prior YTD Data Pull'!$A$2:$A$605,0),MATCH("Long Term Debt Net of Current Portion",'Prior YTD Data Pull'!$A$1:$CB$1,0)),"")</f>
        <v>0</v>
      </c>
      <c r="AR76" s="38">
        <f>IFERROR(INDEX('Prior YTD Data Pull'!$A$2:$CB$605,MATCH('Prior YTD Data Table'!$C76,'Prior YTD Data Pull'!$A$2:$A$605,0),MATCH("Total Assets",'Prior YTD Data Pull'!$A$1:$CB$1,0)),"")</f>
        <v>0</v>
      </c>
      <c r="AS76" s="38">
        <f>IFERROR(INDEX('Prior YTD Data Pull'!$A$2:$CB$605,MATCH('Prior YTD Data Table'!$C76,'Prior YTD Data Pull'!$A$2:$A$605,0),MATCH("Long Term Debt Net of Current Portion",'Prior YTD Data Pull'!$A$1:$CB$1,0)),"")</f>
        <v>0</v>
      </c>
      <c r="AT76" s="38">
        <f>IFERROR(INDEX('Prior YTD Data Pull'!$A$2:$CB$605,MATCH('Prior YTD Data Table'!$C76,'Prior YTD Data Pull'!$A$2:$A$605,0),MATCH("Net Unrestricted Assets",'Prior YTD Data Pull'!$A$1:$CB$1,0)),"")</f>
        <v>0</v>
      </c>
      <c r="AU76" s="38">
        <f>IFERROR(INDEX('Prior YTD Data Pull'!$A$2:$CB$605,MATCH('Prior YTD Data Table'!$C76,'Prior YTD Data Pull'!$A$2:$A$605,0),MATCH("Unrealized Gains/Losses",'Prior YTD Data Pull'!$A$1:$CB$1,0)),"")</f>
        <v>0</v>
      </c>
      <c r="AV76" s="38">
        <f>IFERROR(INDEX('Prior YTD Data Pull'!$A$2:$CB$605,MATCH('Prior YTD Data Table'!$C76,'Prior YTD Data Pull'!$A$2:$A$605,0),MATCH("Salary and Benefit Expense",'Prior YTD Data Pull'!$A$1:$CB$1,0)),"")</f>
        <v>15684000</v>
      </c>
      <c r="AW76" s="38"/>
      <c r="AX76" s="38"/>
      <c r="AY76" s="38"/>
      <c r="AZ76" s="38"/>
    </row>
    <row r="77" spans="1:52" ht="34.200000000000003" x14ac:dyDescent="0.3">
      <c r="A77" s="14" t="str">
        <f>IFERROR(INDEX('Static Data Tab'!$N$2:$N$610,MATCH(D77,'Static Data Tab'!$D$2:$D$610,0)), "")</f>
        <v>Tufts Medicine</v>
      </c>
      <c r="B77" s="14" t="s">
        <v>196</v>
      </c>
      <c r="C77" s="14">
        <v>10991</v>
      </c>
      <c r="D77" s="14">
        <v>12775</v>
      </c>
      <c r="E77" s="14" t="str">
        <f>IFERROR(INDEX('Prior YTD Data Pull'!$A$1:$CB$605,MATCH('Prior YTD Data Table'!$C77,'Prior YTD Data Pull'!$A$1:$A$605,0),MATCH("Organization Type",'Prior YTD Data Pull'!$A$1:$CB$1,0)),"")</f>
        <v>PhysicianOrganization</v>
      </c>
      <c r="F77" s="14" t="str">
        <f>IFERROR(INDEX('Static Data Tab'!$E$2:$E$610,MATCH('Prior YTD Data Table'!$C77,'Static Data Tab'!$B$2:$B$610,0)), "-")</f>
        <v>-</v>
      </c>
      <c r="G77" s="46" t="str">
        <f>IFERROR(INDEX('Static Data Tab'!$J$2:$J$610,MATCH('Prior YTD Data Table'!$C77,'Static Data Tab'!$B$2:$B$610,0)), "")</f>
        <v/>
      </c>
      <c r="H77" s="14" t="str">
        <f>IFERROR(INDEX('Static Data Tab'!$F$2:$F$610,MATCH('Prior YTD Data Table'!$C77,'Static Data Tab'!$B$2:$B$610,0)), "")</f>
        <v/>
      </c>
      <c r="I77" s="14" t="str">
        <f>IFERROR(INDEX('Static Data Tab'!$G$2:$G$610,MATCH('Prior YTD Data Table'!$C77,'Static Data Tab'!$B$2:$B$610,0)), "")</f>
        <v/>
      </c>
      <c r="J77" s="14" t="str">
        <f>IFERROR(INDEX('Prior YTD Data Pull'!$A$2:$CB$605,MATCH('Prior YTD Data Table'!$C77,'Prior YTD Data Pull'!$A$2:$A$605,0),MATCH("Quarter Range",'Prior YTD Data Pull'!$A$1:$CB$1,0)),"")</f>
        <v xml:space="preserve">10/01/2024-03/31/2025
</v>
      </c>
      <c r="K77" s="37">
        <f t="shared" si="15"/>
        <v>-0.2065577823280611</v>
      </c>
      <c r="L77" s="37">
        <f t="shared" si="16"/>
        <v>0</v>
      </c>
      <c r="M77" s="37">
        <f t="shared" si="17"/>
        <v>-0.2065577823280611</v>
      </c>
      <c r="N77" s="38">
        <f t="shared" si="18"/>
        <v>-38434000</v>
      </c>
      <c r="O77" s="39" t="str">
        <f t="shared" si="19"/>
        <v/>
      </c>
      <c r="P77" s="38">
        <f>IFERROR(INDEX('Prior YTD Data Pull'!$A$2:$CB$605,MATCH('Prior YTD Data Table'!$C77,'Prior YTD Data Pull'!$A$2:$A$605,0),MATCH("Total Net Assets or Equity",'Prior YTD Data Pull'!$A$1:$CB$1,0)),"")</f>
        <v>0</v>
      </c>
      <c r="Q77" s="38">
        <f>IFERROR(INDEX('Prior YTD Data Pull'!$A$2:$CB$605,MATCH('Prior YTD Data Table'!$C77,'Prior YTD Data Pull'!$A$2:$A$605,0),MATCH("Total Operating Revenue",'Prior YTD Data Pull'!$A$1:$CB$1,0)),"")</f>
        <v>186069000</v>
      </c>
      <c r="R77" s="38">
        <f>IFERROR(INDEX('Prior YTD Data Pull'!$A$2:$CB$605,MATCH('Prior YTD Data Table'!$C77,'Prior YTD Data Pull'!$A$2:$A$605,0),MATCH("Total Unrestricted Revenue Gains and Other Support",'Prior YTD Data Pull'!$A$1:$CB$1,0)),"")</f>
        <v>186069000</v>
      </c>
      <c r="S77" s="38">
        <f>IFERROR(INDEX('Prior YTD TS Data Pull'!$J$2:$J$128,MATCH('Prior YTD Data Table'!$C77, 'Prior YTD TS Data Pull'!$A$2:$A$128,0))+INDEX('Prior YTD TS Data Pull'!$N$2:$N$128,MATCH('Prior YTD Data Table'!$C77,'Prior YTD TS Data Pull'!$A$2:$A$609,0))+INDEX('Prior YTD TS Data Pull'!$R$2:$R$128,MATCH('Prior YTD Data Table'!$C77,'Prior YTD TS Data Pull'!$A$2:$A$609,0)),"")</f>
        <v>3437079</v>
      </c>
      <c r="T77" s="38">
        <f>IF(INDEX('Prior YTD TS Data Pull'!$A$1:$O$609,MATCH('Prior YTD Data Table'!$C77,'Prior YTD TS Data Pull'!$A$1:$A$609,0),MATCH("Temporary RN Staffing:
Line Reported on in Standardized Financials",'Prior YTD TS Data Pull'!$A$1:$O$1,0))="66.1: Salary and Benefit Expense",'Prior YTD Data Table'!$AV77-'Prior YTD Data Table'!$S77,0)</f>
        <v>0</v>
      </c>
      <c r="U77" s="38">
        <f>IFERROR(INDEX('Prior YTD Data Pull'!$A$2:$CB$605,MATCH('Prior YTD Data Table'!$C77,'Prior YTD Data Pull'!$A$2:$A$605,0),MATCH("Total Expenses Including Nonrecurring Gains Losses",'Prior YTD Data Pull'!$A$1:$CB$1,0)),"")</f>
        <v>224503000</v>
      </c>
      <c r="V77" s="41">
        <f t="shared" si="20"/>
        <v>16481.300309597522</v>
      </c>
      <c r="W77" s="41">
        <f t="shared" si="21"/>
        <v>0</v>
      </c>
      <c r="X77" s="41">
        <f t="shared" si="13"/>
        <v>0</v>
      </c>
      <c r="Y77" s="37" t="str">
        <f t="shared" si="22"/>
        <v/>
      </c>
      <c r="Z77" s="41">
        <f t="shared" si="14"/>
        <v>0</v>
      </c>
      <c r="AA77" s="39" t="str">
        <f t="shared" si="23"/>
        <v/>
      </c>
      <c r="AB77" s="37" t="str">
        <f t="shared" si="24"/>
        <v/>
      </c>
      <c r="AC77" s="37" t="str">
        <f t="shared" si="25"/>
        <v/>
      </c>
      <c r="AD77" s="38">
        <f>IFERROR(INDEX('Prior YTD Data Pull'!$A$2:$CB$605,MATCH('Prior YTD Data Table'!$C77,'Prior YTD Data Pull'!$A$2:$A$605,0),MATCH("Net Patient Service Revenue",'Prior YTD Data Pull'!$A$1:$CB$1,0)),"")</f>
        <v>113505000</v>
      </c>
      <c r="AE77" s="38">
        <f>IFERROR(INDEX('Prior YTD Data Pull'!$A$2:$CB$605,MATCH('Prior YTD Data Table'!$C77,'Prior YTD Data Pull'!$A$2:$A$605,0),MATCH("Total Current Assets",'Prior YTD Data Pull'!$A$1:$CB$1,0)),"")</f>
        <v>0</v>
      </c>
      <c r="AF77" s="38">
        <f>IFERROR(INDEX('Prior YTD Data Pull'!$A$2:$CB$605,MATCH('Prior YTD Data Table'!$C77,'Prior YTD Data Pull'!$A$2:$A$605,0),MATCH("Total Current Liabilities",'Prior YTD Data Pull'!$A$1:$CB$1,0)),"")</f>
        <v>0</v>
      </c>
      <c r="AG77" s="38">
        <f>IFERROR(INDEX('Prior YTD Data Pull'!$A$2:$CB$605,MATCH('Prior YTD Data Table'!$C77,'Prior YTD Data Pull'!$A$2:$A$605,0),MATCH("Total Non Operating Revenue",'Prior YTD Data Pull'!$A$1:$CB$1,0)),"")</f>
        <v>0</v>
      </c>
      <c r="AH77" s="38">
        <f>IFERROR(INDEX('Prior YTD Data Pull'!$A$2:$CB$605,MATCH('Prior YTD Data Table'!$C77,'Prior Year Data Pull'!$A$2:$A$593,0),MATCH("Less Accumulated Depreciation",'Prior YTD Data Pull'!$A$1:$CB$1,0)),"")</f>
        <v>5323460000</v>
      </c>
      <c r="AI77" s="38">
        <f>IFERROR(INDEX('Prior YTD Data Pull'!$A$2:$CB$605,MATCH('Prior YTD Data Table'!$C77,'Prior YTD Data Pull'!$A$2:$A$605,0),MATCH("Depreciation and Amortization Expense",'Prior YTD Data Pull'!$A$1:$CB$1,0)),"")</f>
        <v>323000</v>
      </c>
      <c r="AJ77" s="38">
        <f>IFERROR(INDEX('Prior YTD Data Pull'!$A$2:$CB$605,MATCH('Prior YTD Data Table'!$C77,'Prior YTD Data Pull'!$A$2:$A$605,0),MATCH("Net Patient Accounts Receivable",'Prior YTD Data Pull'!$A$1:$CB$1,0)),"")</f>
        <v>0</v>
      </c>
      <c r="AK77" s="14" t="str">
        <f>IF('Prior YTD Data Pull'!$H77 = 6, "183", IF('Prior YTD Data Pull'!$H77 = 3, "93",""))</f>
        <v>183</v>
      </c>
      <c r="AL77" s="38">
        <f>IFERROR(INDEX('Prior YTD Data Pull'!$A$2:$CB$605,MATCH('Prior YTD Data Table'!$C77,'Prior YTD Data Pull'!$A$2:$A$605,0),MATCH("Estimated Third Party Settlements",'Prior YTD Data Pull'!$A$1:$CB$1,0)),"")</f>
        <v>0</v>
      </c>
      <c r="AM77" s="38">
        <f>IFERROR(INDEX('Prior YTD Data Pull'!$A$2:$CB$605,MATCH('Prior YTD Data Table'!$C77,'Prior YTD Data Pull'!$A$2:$A$605,0),MATCH("Current Liabilities due to Affiliates",'Prior YTD Data Pull'!$A$1:$CB$1,0)),"")</f>
        <v>0</v>
      </c>
      <c r="AN77" s="38">
        <f>IFERROR(INDEX('Prior YTD Data Pull'!$A$2:$CB$605,MATCH('Prior YTD Data Table'!$C77,'Prior YTD Data Pull'!$A$2:$A$605,0),MATCH("Short Term Investments",'Prior YTD Data Pull'!$A$1:$CB$1,0)),"")</f>
        <v>0</v>
      </c>
      <c r="AO77" s="38">
        <f>IFERROR(INDEX('Prior YTD Data Pull'!$A$2:$CB$605,MATCH('Prior YTD Data Table'!$C77,'Prior YTD Data Pull'!$A$2:$A$605,0),MATCH("Cash and Cash Equivalents",'Prior YTD Data Pull'!$A$1:$CB$1,0)),"")</f>
        <v>0</v>
      </c>
      <c r="AP77" s="38">
        <f>IFERROR(INDEX('Prior YTD Data Pull'!$A$2:$CB$605,MATCH('Prior YTD Data Table'!$C77,'Prior YTD Data Pull'!$A$2:$A$605,0),MATCH("Interest Expense",'Prior YTD Data Pull'!$A$1:$CB$1,0)),"")</f>
        <v>0</v>
      </c>
      <c r="AQ77" s="38">
        <f>IFERROR(INDEX('Prior YTD Data Pull'!$A$2:$CB$605,MATCH('Prior YTD Data Table'!$C77,'Prior YTD Data Pull'!$A$2:$A$605,0),MATCH("Long Term Debt Net of Current Portion",'Prior YTD Data Pull'!$A$1:$CB$1,0)),"")</f>
        <v>0</v>
      </c>
      <c r="AR77" s="38">
        <f>IFERROR(INDEX('Prior YTD Data Pull'!$A$2:$CB$605,MATCH('Prior YTD Data Table'!$C77,'Prior YTD Data Pull'!$A$2:$A$605,0),MATCH("Total Assets",'Prior YTD Data Pull'!$A$1:$CB$1,0)),"")</f>
        <v>0</v>
      </c>
      <c r="AS77" s="38">
        <f>IFERROR(INDEX('Prior YTD Data Pull'!$A$2:$CB$605,MATCH('Prior YTD Data Table'!$C77,'Prior YTD Data Pull'!$A$2:$A$605,0),MATCH("Long Term Debt Net of Current Portion",'Prior YTD Data Pull'!$A$1:$CB$1,0)),"")</f>
        <v>0</v>
      </c>
      <c r="AT77" s="38">
        <f>IFERROR(INDEX('Prior YTD Data Pull'!$A$2:$CB$605,MATCH('Prior YTD Data Table'!$C77,'Prior YTD Data Pull'!$A$2:$A$605,0),MATCH("Net Unrestricted Assets",'Prior YTD Data Pull'!$A$1:$CB$1,0)),"")</f>
        <v>0</v>
      </c>
      <c r="AU77" s="38">
        <f>IFERROR(INDEX('Prior YTD Data Pull'!$A$2:$CB$605,MATCH('Prior YTD Data Table'!$C77,'Prior YTD Data Pull'!$A$2:$A$605,0),MATCH("Unrealized Gains/Losses",'Prior YTD Data Pull'!$A$1:$CB$1,0)),"")</f>
        <v>0</v>
      </c>
      <c r="AV77" s="38">
        <f>IFERROR(INDEX('Prior YTD Data Pull'!$A$2:$CB$605,MATCH('Prior YTD Data Table'!$C77,'Prior YTD Data Pull'!$A$2:$A$605,0),MATCH("Salary and Benefit Expense",'Prior YTD Data Pull'!$A$1:$CB$1,0)),"")</f>
        <v>166904000</v>
      </c>
      <c r="AW77" s="47"/>
      <c r="AX77" s="47"/>
      <c r="AY77" s="47"/>
      <c r="AZ77" s="47"/>
    </row>
    <row r="78" spans="1:52" ht="34.200000000000003" x14ac:dyDescent="0.3">
      <c r="A78" s="14" t="str">
        <f>IFERROR(INDEX('Static Data Tab'!$N$2:$N$610,MATCH(D78,'Static Data Tab'!$D$2:$D$610,0)), "")</f>
        <v>Beth Israel Lahey Health</v>
      </c>
      <c r="B78" s="57" t="s">
        <v>104</v>
      </c>
      <c r="C78" s="57">
        <v>9914</v>
      </c>
      <c r="D78" s="57">
        <v>16665</v>
      </c>
      <c r="E78" s="14" t="str">
        <f>IFERROR(INDEX('Prior YTD Data Pull'!$A$1:$CB$605,MATCH('Prior YTD Data Table'!$C78,'Prior YTD Data Pull'!$A$1:$A$605,0),MATCH("Organization Type",'Prior YTD Data Pull'!$A$1:$CB$1,0)),"")</f>
        <v>PhysicianOrganization</v>
      </c>
      <c r="F78" s="14" t="str">
        <f>IFERROR(INDEX('Static Data Tab'!$E$2:$E$610,MATCH('Prior YTD Data Table'!$C78,'Static Data Tab'!$B$2:$B$610,0)), "-")</f>
        <v>-</v>
      </c>
      <c r="G78" s="46" t="str">
        <f>IFERROR(INDEX('Static Data Tab'!$J$2:$J$610,MATCH('Prior YTD Data Table'!$C78,'Static Data Tab'!$B$2:$B$610,0)), "")</f>
        <v/>
      </c>
      <c r="H78" s="14" t="str">
        <f>IFERROR(INDEX('Static Data Tab'!$F$2:$F$610,MATCH('Prior YTD Data Table'!$C78,'Static Data Tab'!$B$2:$B$610,0)), "")</f>
        <v/>
      </c>
      <c r="I78" s="14" t="str">
        <f>IFERROR(INDEX('Static Data Tab'!$G$2:$G$610,MATCH('Prior YTD Data Table'!$C78,'Static Data Tab'!$B$2:$B$610,0)), "")</f>
        <v/>
      </c>
      <c r="J78" s="14" t="str">
        <f>IFERROR(INDEX('Prior YTD Data Pull'!$A$2:$CB$605,MATCH('Prior YTD Data Table'!$C78,'Prior YTD Data Pull'!$A$2:$A$605,0),MATCH("Quarter Range",'Prior YTD Data Pull'!$A$1:$CB$1,0)),"")</f>
        <v xml:space="preserve">10/01/2024-03/31/2025
</v>
      </c>
      <c r="K78" s="37">
        <f t="shared" si="15"/>
        <v>3.5781384421306032E-3</v>
      </c>
      <c r="L78" s="37">
        <f t="shared" si="16"/>
        <v>1.9401033127196553E-2</v>
      </c>
      <c r="M78" s="37">
        <f t="shared" si="17"/>
        <v>2.2979171569327154E-2</v>
      </c>
      <c r="N78" s="38">
        <f t="shared" si="18"/>
        <v>11913000</v>
      </c>
      <c r="O78" s="39" t="str">
        <f t="shared" si="19"/>
        <v/>
      </c>
      <c r="P78" s="38">
        <f>IFERROR(INDEX('Prior YTD Data Pull'!$A$2:$CB$605,MATCH('Prior YTD Data Table'!$C78,'Prior YTD Data Pull'!$A$2:$A$605,0),MATCH("Total Net Assets or Equity",'Prior YTD Data Pull'!$A$1:$CB$1,0)),"")</f>
        <v>0</v>
      </c>
      <c r="Q78" s="38">
        <f>IFERROR(INDEX('Prior YTD Data Pull'!$A$2:$CB$605,MATCH('Prior YTD Data Table'!$C78,'Prior YTD Data Pull'!$A$2:$A$605,0),MATCH("Total Operating Revenue",'Prior YTD Data Pull'!$A$1:$CB$1,0)),"")</f>
        <v>508368000</v>
      </c>
      <c r="R78" s="38">
        <f>IFERROR(INDEX('Prior YTD Data Pull'!$A$2:$CB$605,MATCH('Prior YTD Data Table'!$C78,'Prior YTD Data Pull'!$A$2:$A$605,0),MATCH("Total Unrestricted Revenue Gains and Other Support",'Prior YTD Data Pull'!$A$1:$CB$1,0)),"")</f>
        <v>518426000</v>
      </c>
      <c r="S78" s="38">
        <f>IFERROR(INDEX('Prior YTD TS Data Pull'!$J$2:$J$128,MATCH('Prior YTD Data Table'!$C78, 'Prior YTD TS Data Pull'!$A$2:$A$128,0))+INDEX('Prior YTD TS Data Pull'!$N$2:$N$128,MATCH('Prior YTD Data Table'!$C78,'Prior YTD TS Data Pull'!$A$2:$A$609,0))+INDEX('Prior YTD TS Data Pull'!$R$2:$R$128,MATCH('Prior YTD Data Table'!$C78,'Prior YTD TS Data Pull'!$A$2:$A$609,0)),"")</f>
        <v>4551625.38</v>
      </c>
      <c r="T78" s="38">
        <f>IF(INDEX('Prior YTD TS Data Pull'!$A$1:$O$609,MATCH('Prior YTD Data Table'!$C78,'Prior YTD TS Data Pull'!$A$1:$A$609,0),MATCH("Temporary RN Staffing:
Line Reported on in Standardized Financials",'Prior YTD TS Data Pull'!$A$1:$O$1,0))="66.1: Salary and Benefit Expense",'Prior YTD Data Table'!$AV78-'Prior YTD Data Table'!$S78,0)</f>
        <v>454902374.62</v>
      </c>
      <c r="U78" s="38">
        <f>IFERROR(INDEX('Prior YTD Data Pull'!$A$2:$CB$605,MATCH('Prior YTD Data Table'!$C78,'Prior YTD Data Pull'!$A$2:$A$605,0),MATCH("Total Expenses Including Nonrecurring Gains Losses",'Prior YTD Data Pull'!$A$1:$CB$1,0)),"")</f>
        <v>506513000</v>
      </c>
      <c r="V78" s="41">
        <f t="shared" si="20"/>
        <v>1108.5282738095239</v>
      </c>
      <c r="W78" s="41">
        <f t="shared" si="21"/>
        <v>0</v>
      </c>
      <c r="X78" s="41">
        <f t="shared" si="13"/>
        <v>0</v>
      </c>
      <c r="Y78" s="37" t="str">
        <f t="shared" si="22"/>
        <v/>
      </c>
      <c r="Z78" s="41">
        <f t="shared" si="14"/>
        <v>0</v>
      </c>
      <c r="AA78" s="39" t="str">
        <f t="shared" si="23"/>
        <v/>
      </c>
      <c r="AB78" s="37" t="str">
        <f t="shared" si="24"/>
        <v/>
      </c>
      <c r="AC78" s="37" t="str">
        <f t="shared" si="25"/>
        <v/>
      </c>
      <c r="AD78" s="38">
        <f>IFERROR(INDEX('Prior YTD Data Pull'!$A$2:$CB$605,MATCH('Prior YTD Data Table'!$C78,'Prior YTD Data Pull'!$A$2:$A$605,0),MATCH("Net Patient Service Revenue",'Prior YTD Data Pull'!$A$1:$CB$1,0)),"")</f>
        <v>242128000</v>
      </c>
      <c r="AE78" s="38">
        <f>IFERROR(INDEX('Prior YTD Data Pull'!$A$2:$CB$605,MATCH('Prior YTD Data Table'!$C78,'Prior YTD Data Pull'!$A$2:$A$605,0),MATCH("Total Current Assets",'Prior YTD Data Pull'!$A$1:$CB$1,0)),"")</f>
        <v>0</v>
      </c>
      <c r="AF78" s="38">
        <f>IFERROR(INDEX('Prior YTD Data Pull'!$A$2:$CB$605,MATCH('Prior YTD Data Table'!$C78,'Prior YTD Data Pull'!$A$2:$A$605,0),MATCH("Total Current Liabilities",'Prior YTD Data Pull'!$A$1:$CB$1,0)),"")</f>
        <v>0</v>
      </c>
      <c r="AG78" s="38">
        <f>IFERROR(INDEX('Prior YTD Data Pull'!$A$2:$CB$605,MATCH('Prior YTD Data Table'!$C78,'Prior YTD Data Pull'!$A$2:$A$605,0),MATCH("Total Non Operating Revenue",'Prior YTD Data Pull'!$A$1:$CB$1,0)),"")</f>
        <v>10058000</v>
      </c>
      <c r="AH78" s="38">
        <f>IFERROR(INDEX('Prior YTD Data Pull'!$A$2:$CB$605,MATCH('Prior YTD Data Table'!$C78,'Prior Year Data Pull'!$A$2:$A$593,0),MATCH("Less Accumulated Depreciation",'Prior YTD Data Pull'!$A$1:$CB$1,0)),"")</f>
        <v>744931000</v>
      </c>
      <c r="AI78" s="38">
        <f>IFERROR(INDEX('Prior YTD Data Pull'!$A$2:$CB$605,MATCH('Prior YTD Data Table'!$C78,'Prior YTD Data Pull'!$A$2:$A$605,0),MATCH("Depreciation and Amortization Expense",'Prior YTD Data Pull'!$A$1:$CB$1,0)),"")</f>
        <v>672000</v>
      </c>
      <c r="AJ78" s="38">
        <f>IFERROR(INDEX('Prior YTD Data Pull'!$A$2:$CB$605,MATCH('Prior YTD Data Table'!$C78,'Prior YTD Data Pull'!$A$2:$A$605,0),MATCH("Net Patient Accounts Receivable",'Prior YTD Data Pull'!$A$1:$CB$1,0)),"")</f>
        <v>0</v>
      </c>
      <c r="AK78" s="14" t="str">
        <f>IF('Prior YTD Data Pull'!$H78 = 6, "183", IF('Prior YTD Data Pull'!$H78 = 3, "93",""))</f>
        <v>183</v>
      </c>
      <c r="AL78" s="38">
        <f>IFERROR(INDEX('Prior YTD Data Pull'!$A$2:$CB$605,MATCH('Prior YTD Data Table'!$C78,'Prior YTD Data Pull'!$A$2:$A$605,0),MATCH("Estimated Third Party Settlements",'Prior YTD Data Pull'!$A$1:$CB$1,0)),"")</f>
        <v>0</v>
      </c>
      <c r="AM78" s="38">
        <f>IFERROR(INDEX('Prior YTD Data Pull'!$A$2:$CB$605,MATCH('Prior YTD Data Table'!$C78,'Prior YTD Data Pull'!$A$2:$A$605,0),MATCH("Current Liabilities due to Affiliates",'Prior YTD Data Pull'!$A$1:$CB$1,0)),"")</f>
        <v>0</v>
      </c>
      <c r="AN78" s="38">
        <f>IFERROR(INDEX('Prior YTD Data Pull'!$A$2:$CB$605,MATCH('Prior YTD Data Table'!$C78,'Prior YTD Data Pull'!$A$2:$A$605,0),MATCH("Short Term Investments",'Prior YTD Data Pull'!$A$1:$CB$1,0)),"")</f>
        <v>0</v>
      </c>
      <c r="AO78" s="38">
        <f>IFERROR(INDEX('Prior YTD Data Pull'!$A$2:$CB$605,MATCH('Prior YTD Data Table'!$C78,'Prior YTD Data Pull'!$A$2:$A$605,0),MATCH("Cash and Cash Equivalents",'Prior YTD Data Pull'!$A$1:$CB$1,0)),"")</f>
        <v>0</v>
      </c>
      <c r="AP78" s="38">
        <f>IFERROR(INDEX('Prior YTD Data Pull'!$A$2:$CB$605,MATCH('Prior YTD Data Table'!$C78,'Prior YTD Data Pull'!$A$2:$A$605,0),MATCH("Interest Expense",'Prior YTD Data Pull'!$A$1:$CB$1,0)),"")</f>
        <v>0</v>
      </c>
      <c r="AQ78" s="38">
        <f>IFERROR(INDEX('Prior YTD Data Pull'!$A$2:$CB$605,MATCH('Prior YTD Data Table'!$C78,'Prior YTD Data Pull'!$A$2:$A$605,0),MATCH("Long Term Debt Net of Current Portion",'Prior YTD Data Pull'!$A$1:$CB$1,0)),"")</f>
        <v>0</v>
      </c>
      <c r="AR78" s="38">
        <f>IFERROR(INDEX('Prior YTD Data Pull'!$A$2:$CB$605,MATCH('Prior YTD Data Table'!$C78,'Prior YTD Data Pull'!$A$2:$A$605,0),MATCH("Total Assets",'Prior YTD Data Pull'!$A$1:$CB$1,0)),"")</f>
        <v>0</v>
      </c>
      <c r="AS78" s="38">
        <f>IFERROR(INDEX('Prior YTD Data Pull'!$A$2:$CB$605,MATCH('Prior YTD Data Table'!$C78,'Prior YTD Data Pull'!$A$2:$A$605,0),MATCH("Long Term Debt Net of Current Portion",'Prior YTD Data Pull'!$A$1:$CB$1,0)),"")</f>
        <v>0</v>
      </c>
      <c r="AT78" s="38">
        <f>IFERROR(INDEX('Prior YTD Data Pull'!$A$2:$CB$605,MATCH('Prior YTD Data Table'!$C78,'Prior YTD Data Pull'!$A$2:$A$605,0),MATCH("Net Unrestricted Assets",'Prior YTD Data Pull'!$A$1:$CB$1,0)),"")</f>
        <v>0</v>
      </c>
      <c r="AU78" s="38">
        <f>IFERROR(INDEX('Prior YTD Data Pull'!$A$2:$CB$605,MATCH('Prior YTD Data Table'!$C78,'Prior YTD Data Pull'!$A$2:$A$605,0),MATCH("Unrealized Gains/Losses",'Prior YTD Data Pull'!$A$1:$CB$1,0)),"")</f>
        <v>1535000</v>
      </c>
      <c r="AV78" s="38">
        <f>IFERROR(INDEX('Prior YTD Data Pull'!$A$2:$CB$605,MATCH('Prior YTD Data Table'!$C78,'Prior YTD Data Pull'!$A$2:$A$605,0),MATCH("Salary and Benefit Expense",'Prior YTD Data Pull'!$A$1:$CB$1,0)),"")</f>
        <v>459454000</v>
      </c>
      <c r="AW78" s="38"/>
      <c r="AX78" s="38"/>
      <c r="AY78" s="38"/>
      <c r="AZ78" s="38"/>
    </row>
    <row r="79" spans="1:52" ht="34.200000000000003" x14ac:dyDescent="0.3">
      <c r="A79" s="14" t="str">
        <f>IFERROR(INDEX('Static Data Tab'!$N$2:$N$610,MATCH(D79,'Static Data Tab'!$D$2:$D$610,0)), "")</f>
        <v>Brown University Health</v>
      </c>
      <c r="B79" s="14" t="s">
        <v>699</v>
      </c>
      <c r="C79" s="14">
        <v>22406</v>
      </c>
      <c r="D79" s="14">
        <v>22350</v>
      </c>
      <c r="E79" s="14" t="str">
        <f>IFERROR(INDEX('Prior YTD Data Pull'!$A$1:$CB$605,MATCH('Prior YTD Data Table'!$C79,'Prior YTD Data Pull'!$A$1:$A$605,0),MATCH("Organization Type",'Prior YTD Data Pull'!$A$1:$CB$1,0)),"")</f>
        <v>PhysicianOrganization</v>
      </c>
      <c r="F79" s="14" t="str">
        <f>IFERROR(INDEX('Static Data Tab'!$E$2:$E$610,MATCH('Prior YTD Data Table'!$C79,'Static Data Tab'!$B$2:$B$610,0)), "-")</f>
        <v>-</v>
      </c>
      <c r="G79" s="46" t="str">
        <f>IFERROR(INDEX('Static Data Tab'!$J$2:$J$610,MATCH('Prior YTD Data Table'!$C79,'Static Data Tab'!$B$2:$B$610,0)), "")</f>
        <v/>
      </c>
      <c r="H79" s="14" t="str">
        <f>IFERROR(INDEX('Static Data Tab'!$F$2:$F$610,MATCH('Prior YTD Data Table'!$C79,'Static Data Tab'!$B$2:$B$610,0)), "")</f>
        <v/>
      </c>
      <c r="I79" s="14" t="str">
        <f>IFERROR(INDEX('Static Data Tab'!$G$2:$G$610,MATCH('Prior YTD Data Table'!$C79,'Static Data Tab'!$B$2:$B$610,0)), "")</f>
        <v/>
      </c>
      <c r="J79" s="14" t="str">
        <f>IFERROR(INDEX('Prior YTD Data Pull'!$A$2:$CB$605,MATCH('Prior YTD Data Table'!$C79,'Prior YTD Data Pull'!$A$2:$A$605,0),MATCH("Quarter Range",'Prior YTD Data Pull'!$A$1:$CB$1,0)),"")</f>
        <v xml:space="preserve">10/01/2024-03/31/2025
</v>
      </c>
      <c r="K79" s="37">
        <f t="shared" si="15"/>
        <v>-0.39035104139368298</v>
      </c>
      <c r="L79" s="37">
        <f t="shared" si="16"/>
        <v>0</v>
      </c>
      <c r="M79" s="37">
        <f t="shared" si="17"/>
        <v>-0.39035104139368298</v>
      </c>
      <c r="N79" s="38">
        <f t="shared" si="18"/>
        <v>-31280000</v>
      </c>
      <c r="O79" s="39" t="str">
        <f t="shared" si="19"/>
        <v/>
      </c>
      <c r="P79" s="38">
        <f>IFERROR(INDEX('Prior YTD Data Pull'!$A$2:$CB$605,MATCH('Prior YTD Data Table'!$C79,'Prior YTD Data Pull'!$A$2:$A$605,0),MATCH("Total Net Assets or Equity",'Prior YTD Data Pull'!$A$1:$CB$1,0)),"")</f>
        <v>0</v>
      </c>
      <c r="Q79" s="38">
        <f>IFERROR(INDEX('Prior YTD Data Pull'!$A$2:$CB$605,MATCH('Prior YTD Data Table'!$C79,'Prior YTD Data Pull'!$A$2:$A$605,0),MATCH("Total Operating Revenue",'Prior YTD Data Pull'!$A$1:$CB$1,0)),"")</f>
        <v>80133000</v>
      </c>
      <c r="R79" s="38">
        <f>IFERROR(INDEX('Prior YTD Data Pull'!$A$2:$CB$605,MATCH('Prior YTD Data Table'!$C79,'Prior YTD Data Pull'!$A$2:$A$605,0),MATCH("Total Unrestricted Revenue Gains and Other Support",'Prior YTD Data Pull'!$A$1:$CB$1,0)),"")</f>
        <v>80133000</v>
      </c>
      <c r="S79" s="38">
        <f>IFERROR(INDEX('Prior YTD TS Data Pull'!$J$2:$J$128,MATCH('Prior YTD Data Table'!$C79, 'Prior YTD TS Data Pull'!$A$2:$A$128,0))+INDEX('Prior YTD TS Data Pull'!$N$2:$N$128,MATCH('Prior YTD Data Table'!$C79,'Prior YTD TS Data Pull'!$A$2:$A$609,0))+INDEX('Prior YTD TS Data Pull'!$R$2:$R$128,MATCH('Prior YTD Data Table'!$C79,'Prior YTD TS Data Pull'!$A$2:$A$609,0)),"")</f>
        <v>708000</v>
      </c>
      <c r="T79" s="38">
        <f>IF(INDEX('Prior YTD TS Data Pull'!$A$1:$O$609,MATCH('Prior YTD Data Table'!$C79,'Prior YTD TS Data Pull'!$A$1:$A$609,0),MATCH("Temporary RN Staffing:
Line Reported on in Standardized Financials",'Prior YTD TS Data Pull'!$A$1:$O$1,0))="66.1: Salary and Benefit Expense",'Prior YTD Data Table'!$AV79-'Prior YTD Data Table'!$S79,0)</f>
        <v>0</v>
      </c>
      <c r="U79" s="38">
        <f>IFERROR(INDEX('Prior YTD Data Pull'!$A$2:$CB$605,MATCH('Prior YTD Data Table'!$C79,'Prior YTD Data Pull'!$A$2:$A$605,0),MATCH("Total Expenses Including Nonrecurring Gains Losses",'Prior YTD Data Pull'!$A$1:$CB$1,0)),"")</f>
        <v>111413000</v>
      </c>
      <c r="V79" s="41" t="str">
        <f t="shared" si="20"/>
        <v/>
      </c>
      <c r="W79" s="41">
        <f t="shared" si="21"/>
        <v>0</v>
      </c>
      <c r="X79" s="41">
        <f t="shared" si="13"/>
        <v>0</v>
      </c>
      <c r="Y79" s="37" t="str">
        <f t="shared" si="22"/>
        <v/>
      </c>
      <c r="Z79" s="41">
        <f t="shared" si="14"/>
        <v>0</v>
      </c>
      <c r="AA79" s="39" t="str">
        <f t="shared" si="23"/>
        <v/>
      </c>
      <c r="AB79" s="37" t="str">
        <f t="shared" si="24"/>
        <v/>
      </c>
      <c r="AC79" s="37" t="str">
        <f t="shared" si="25"/>
        <v/>
      </c>
      <c r="AD79" s="38">
        <f>IFERROR(INDEX('Prior YTD Data Pull'!$A$2:$CB$605,MATCH('Prior YTD Data Table'!$C79,'Prior YTD Data Pull'!$A$2:$A$605,0),MATCH("Net Patient Service Revenue",'Prior YTD Data Pull'!$A$1:$CB$1,0)),"")</f>
        <v>79066000</v>
      </c>
      <c r="AE79" s="38">
        <f>IFERROR(INDEX('Prior YTD Data Pull'!$A$2:$CB$605,MATCH('Prior YTD Data Table'!$C79,'Prior YTD Data Pull'!$A$2:$A$605,0),MATCH("Total Current Assets",'Prior YTD Data Pull'!$A$1:$CB$1,0)),"")</f>
        <v>0</v>
      </c>
      <c r="AF79" s="38">
        <f>IFERROR(INDEX('Prior YTD Data Pull'!$A$2:$CB$605,MATCH('Prior YTD Data Table'!$C79,'Prior YTD Data Pull'!$A$2:$A$605,0),MATCH("Total Current Liabilities",'Prior YTD Data Pull'!$A$1:$CB$1,0)),"")</f>
        <v>0</v>
      </c>
      <c r="AG79" s="38">
        <f>IFERROR(INDEX('Prior YTD Data Pull'!$A$2:$CB$605,MATCH('Prior YTD Data Table'!$C79,'Prior YTD Data Pull'!$A$2:$A$605,0),MATCH("Total Non Operating Revenue",'Prior YTD Data Pull'!$A$1:$CB$1,0)),"")</f>
        <v>0</v>
      </c>
      <c r="AH79" s="38" t="str">
        <f>IFERROR(INDEX('Prior YTD Data Pull'!$A$2:$CB$605,MATCH('Prior YTD Data Table'!$C79,'Prior Year Data Pull'!$A$2:$A$593,0),MATCH("Less Accumulated Depreciation",'Prior YTD Data Pull'!$A$1:$CB$1,0)),"")</f>
        <v/>
      </c>
      <c r="AI79" s="38">
        <f>IFERROR(INDEX('Prior YTD Data Pull'!$A$2:$CB$605,MATCH('Prior YTD Data Table'!$C79,'Prior YTD Data Pull'!$A$2:$A$605,0),MATCH("Depreciation and Amortization Expense",'Prior YTD Data Pull'!$A$1:$CB$1,0)),"")</f>
        <v>342000</v>
      </c>
      <c r="AJ79" s="38">
        <f>IFERROR(INDEX('Prior YTD Data Pull'!$A$2:$CB$605,MATCH('Prior YTD Data Table'!$C79,'Prior YTD Data Pull'!$A$2:$A$605,0),MATCH("Net Patient Accounts Receivable",'Prior YTD Data Pull'!$A$1:$CB$1,0)),"")</f>
        <v>0</v>
      </c>
      <c r="AK79" s="14" t="str">
        <f>IF('Prior YTD Data Pull'!$H79 = 6, "183", IF('Prior YTD Data Pull'!$H79 = 3, "93",""))</f>
        <v>93</v>
      </c>
      <c r="AL79" s="38">
        <f>IFERROR(INDEX('Prior YTD Data Pull'!$A$2:$CB$605,MATCH('Prior YTD Data Table'!$C79,'Prior YTD Data Pull'!$A$2:$A$605,0),MATCH("Estimated Third Party Settlements",'Prior YTD Data Pull'!$A$1:$CB$1,0)),"")</f>
        <v>0</v>
      </c>
      <c r="AM79" s="38">
        <f>IFERROR(INDEX('Prior YTD Data Pull'!$A$2:$CB$605,MATCH('Prior YTD Data Table'!$C79,'Prior YTD Data Pull'!$A$2:$A$605,0),MATCH("Current Liabilities due to Affiliates",'Prior YTD Data Pull'!$A$1:$CB$1,0)),"")</f>
        <v>0</v>
      </c>
      <c r="AN79" s="38">
        <f>IFERROR(INDEX('Prior YTD Data Pull'!$A$2:$CB$605,MATCH('Prior YTD Data Table'!$C79,'Prior YTD Data Pull'!$A$2:$A$605,0),MATCH("Short Term Investments",'Prior YTD Data Pull'!$A$1:$CB$1,0)),"")</f>
        <v>0</v>
      </c>
      <c r="AO79" s="38">
        <f>IFERROR(INDEX('Prior YTD Data Pull'!$A$2:$CB$605,MATCH('Prior YTD Data Table'!$C79,'Prior YTD Data Pull'!$A$2:$A$605,0),MATCH("Cash and Cash Equivalents",'Prior YTD Data Pull'!$A$1:$CB$1,0)),"")</f>
        <v>0</v>
      </c>
      <c r="AP79" s="38">
        <f>IFERROR(INDEX('Prior YTD Data Pull'!$A$2:$CB$605,MATCH('Prior YTD Data Table'!$C79,'Prior YTD Data Pull'!$A$2:$A$605,0),MATCH("Interest Expense",'Prior YTD Data Pull'!$A$1:$CB$1,0)),"")</f>
        <v>0</v>
      </c>
      <c r="AQ79" s="38">
        <f>IFERROR(INDEX('Prior YTD Data Pull'!$A$2:$CB$605,MATCH('Prior YTD Data Table'!$C79,'Prior YTD Data Pull'!$A$2:$A$605,0),MATCH("Long Term Debt Net of Current Portion",'Prior YTD Data Pull'!$A$1:$CB$1,0)),"")</f>
        <v>0</v>
      </c>
      <c r="AR79" s="38">
        <f>IFERROR(INDEX('Prior YTD Data Pull'!$A$2:$CB$605,MATCH('Prior YTD Data Table'!$C79,'Prior YTD Data Pull'!$A$2:$A$605,0),MATCH("Total Assets",'Prior YTD Data Pull'!$A$1:$CB$1,0)),"")</f>
        <v>0</v>
      </c>
      <c r="AS79" s="38">
        <f>IFERROR(INDEX('Prior YTD Data Pull'!$A$2:$CB$605,MATCH('Prior YTD Data Table'!$C79,'Prior YTD Data Pull'!$A$2:$A$605,0),MATCH("Long Term Debt Net of Current Portion",'Prior YTD Data Pull'!$A$1:$CB$1,0)),"")</f>
        <v>0</v>
      </c>
      <c r="AT79" s="38">
        <f>IFERROR(INDEX('Prior YTD Data Pull'!$A$2:$CB$605,MATCH('Prior YTD Data Table'!$C79,'Prior YTD Data Pull'!$A$2:$A$605,0),MATCH("Net Unrestricted Assets",'Prior YTD Data Pull'!$A$1:$CB$1,0)),"")</f>
        <v>0</v>
      </c>
      <c r="AU79" s="38">
        <f>IFERROR(INDEX('Prior YTD Data Pull'!$A$2:$CB$605,MATCH('Prior YTD Data Table'!$C79,'Prior YTD Data Pull'!$A$2:$A$605,0),MATCH("Unrealized Gains/Losses",'Prior YTD Data Pull'!$A$1:$CB$1,0)),"")</f>
        <v>0</v>
      </c>
      <c r="AV79" s="38">
        <f>IFERROR(INDEX('Prior YTD Data Pull'!$A$2:$CB$605,MATCH('Prior YTD Data Table'!$C79,'Prior YTD Data Pull'!$A$2:$A$605,0),MATCH("Salary and Benefit Expense",'Prior YTD Data Pull'!$A$1:$CB$1,0)),"")</f>
        <v>54219000</v>
      </c>
      <c r="AW79" s="47"/>
      <c r="AX79" s="47"/>
      <c r="AY79" s="47"/>
      <c r="AZ79" s="47"/>
    </row>
    <row r="80" spans="1:52" ht="34.200000000000003" x14ac:dyDescent="0.3">
      <c r="A80" s="14" t="str">
        <f>IFERROR(INDEX('Static Data Tab'!$N$2:$N$610,MATCH(D80,'Static Data Tab'!$D$2:$D$610,0)), "")</f>
        <v>Mass General Brigham</v>
      </c>
      <c r="B80" s="57" t="s">
        <v>158</v>
      </c>
      <c r="C80" s="57">
        <v>8745</v>
      </c>
      <c r="D80" s="57">
        <v>3791</v>
      </c>
      <c r="E80" s="14" t="str">
        <f>IFERROR(INDEX('Prior YTD Data Pull'!$A$1:$CB$605,MATCH('Prior YTD Data Table'!$C80,'Prior YTD Data Pull'!$A$1:$A$605,0),MATCH("Organization Type",'Prior YTD Data Pull'!$A$1:$CB$1,0)),"")</f>
        <v>PhysicianOrganization</v>
      </c>
      <c r="F80" s="14" t="str">
        <f>IFERROR(INDEX('Static Data Tab'!$E$2:$E$610,MATCH('Prior YTD Data Table'!$C80,'Static Data Tab'!$B$2:$B$610,0)), "-")</f>
        <v>-</v>
      </c>
      <c r="G80" s="46" t="str">
        <f>IFERROR(INDEX('Static Data Tab'!$J$2:$J$610,MATCH('Prior YTD Data Table'!$C80,'Static Data Tab'!$B$2:$B$610,0)), "")</f>
        <v/>
      </c>
      <c r="H80" s="14" t="str">
        <f>IFERROR(INDEX('Static Data Tab'!$F$2:$F$610,MATCH('Prior YTD Data Table'!$C80,'Static Data Tab'!$B$2:$B$610,0)), "")</f>
        <v/>
      </c>
      <c r="I80" s="14" t="str">
        <f>IFERROR(INDEX('Static Data Tab'!$G$2:$G$610,MATCH('Prior YTD Data Table'!$C80,'Static Data Tab'!$B$2:$B$610,0)), "")</f>
        <v/>
      </c>
      <c r="J80" s="14" t="str">
        <f>IFERROR(INDEX('Prior YTD Data Pull'!$A$2:$CB$605,MATCH('Prior YTD Data Table'!$C80,'Prior YTD Data Pull'!$A$2:$A$605,0),MATCH("Quarter Range",'Prior YTD Data Pull'!$A$1:$CB$1,0)),"")</f>
        <v xml:space="preserve">10/01/2024-03/31/2025
</v>
      </c>
      <c r="K80" s="37">
        <f t="shared" si="15"/>
        <v>-3.3566141978526011E-2</v>
      </c>
      <c r="L80" s="37">
        <f t="shared" si="16"/>
        <v>1.005197242036604E-2</v>
      </c>
      <c r="M80" s="37">
        <f t="shared" si="17"/>
        <v>-2.3514169558159968E-2</v>
      </c>
      <c r="N80" s="38">
        <f t="shared" si="18"/>
        <v>-3158000</v>
      </c>
      <c r="O80" s="39" t="str">
        <f t="shared" si="19"/>
        <v/>
      </c>
      <c r="P80" s="38">
        <f>IFERROR(INDEX('Prior YTD Data Pull'!$A$2:$CB$605,MATCH('Prior YTD Data Table'!$C80,'Prior YTD Data Pull'!$A$2:$A$605,0),MATCH("Total Net Assets or Equity",'Prior YTD Data Pull'!$A$1:$CB$1,0)),"")</f>
        <v>0</v>
      </c>
      <c r="Q80" s="38">
        <f>IFERROR(INDEX('Prior YTD Data Pull'!$A$2:$CB$605,MATCH('Prior YTD Data Table'!$C80,'Prior YTD Data Pull'!$A$2:$A$605,0),MATCH("Total Operating Revenue",'Prior YTD Data Pull'!$A$1:$CB$1,0)),"")</f>
        <v>132952000</v>
      </c>
      <c r="R80" s="38">
        <f>IFERROR(INDEX('Prior YTD Data Pull'!$A$2:$CB$605,MATCH('Prior YTD Data Table'!$C80,'Prior YTD Data Pull'!$A$2:$A$605,0),MATCH("Total Unrestricted Revenue Gains and Other Support",'Prior YTD Data Pull'!$A$1:$CB$1,0)),"")</f>
        <v>134302000</v>
      </c>
      <c r="S80" s="38">
        <f>IFERROR(INDEX('Prior YTD TS Data Pull'!$J$2:$J$128,MATCH('Prior YTD Data Table'!$C80, 'Prior YTD TS Data Pull'!$A$2:$A$128,0))+INDEX('Prior YTD TS Data Pull'!$N$2:$N$128,MATCH('Prior YTD Data Table'!$C80,'Prior YTD TS Data Pull'!$A$2:$A$609,0))+INDEX('Prior YTD TS Data Pull'!$R$2:$R$128,MATCH('Prior YTD Data Table'!$C80,'Prior YTD TS Data Pull'!$A$2:$A$609,0)),"")</f>
        <v>18480.61</v>
      </c>
      <c r="T80" s="38">
        <f>IF(INDEX('Prior YTD TS Data Pull'!$A$1:$O$609,MATCH('Prior YTD Data Table'!$C80,'Prior YTD TS Data Pull'!$A$1:$A$609,0),MATCH("Temporary RN Staffing:
Line Reported on in Standardized Financials",'Prior YTD TS Data Pull'!$A$1:$O$1,0))="66.1: Salary and Benefit Expense",'Prior YTD Data Table'!$AV80-'Prior YTD Data Table'!$S80,0)</f>
        <v>0</v>
      </c>
      <c r="U80" s="38">
        <f>IFERROR(INDEX('Prior YTD Data Pull'!$A$2:$CB$605,MATCH('Prior YTD Data Table'!$C80,'Prior YTD Data Pull'!$A$2:$A$605,0),MATCH("Total Expenses Including Nonrecurring Gains Losses",'Prior YTD Data Pull'!$A$1:$CB$1,0)),"")</f>
        <v>137460000</v>
      </c>
      <c r="V80" s="41">
        <f t="shared" si="20"/>
        <v>0</v>
      </c>
      <c r="W80" s="41">
        <f t="shared" si="21"/>
        <v>0</v>
      </c>
      <c r="X80" s="41">
        <f t="shared" si="13"/>
        <v>0</v>
      </c>
      <c r="Y80" s="37" t="str">
        <f t="shared" si="22"/>
        <v/>
      </c>
      <c r="Z80" s="41">
        <f t="shared" si="14"/>
        <v>0</v>
      </c>
      <c r="AA80" s="39">
        <f t="shared" si="23"/>
        <v>7.9565217391304346</v>
      </c>
      <c r="AB80" s="37" t="str">
        <f t="shared" si="24"/>
        <v/>
      </c>
      <c r="AC80" s="37" t="str">
        <f t="shared" si="25"/>
        <v/>
      </c>
      <c r="AD80" s="38">
        <f>IFERROR(INDEX('Prior YTD Data Pull'!$A$2:$CB$605,MATCH('Prior YTD Data Table'!$C80,'Prior YTD Data Pull'!$A$2:$A$605,0),MATCH("Net Patient Service Revenue",'Prior YTD Data Pull'!$A$1:$CB$1,0)),"")</f>
        <v>99819000</v>
      </c>
      <c r="AE80" s="38">
        <f>IFERROR(INDEX('Prior YTD Data Pull'!$A$2:$CB$605,MATCH('Prior YTD Data Table'!$C80,'Prior YTD Data Pull'!$A$2:$A$605,0),MATCH("Total Current Assets",'Prior YTD Data Pull'!$A$1:$CB$1,0)),"")</f>
        <v>0</v>
      </c>
      <c r="AF80" s="38">
        <f>IFERROR(INDEX('Prior YTD Data Pull'!$A$2:$CB$605,MATCH('Prior YTD Data Table'!$C80,'Prior YTD Data Pull'!$A$2:$A$605,0),MATCH("Total Current Liabilities",'Prior YTD Data Pull'!$A$1:$CB$1,0)),"")</f>
        <v>0</v>
      </c>
      <c r="AG80" s="38">
        <f>IFERROR(INDEX('Prior YTD Data Pull'!$A$2:$CB$605,MATCH('Prior YTD Data Table'!$C80,'Prior YTD Data Pull'!$A$2:$A$605,0),MATCH("Total Non Operating Revenue",'Prior YTD Data Pull'!$A$1:$CB$1,0)),"")</f>
        <v>1350000</v>
      </c>
      <c r="AH80" s="38">
        <f>IFERROR(INDEX('Prior YTD Data Pull'!$A$2:$CB$605,MATCH('Prior YTD Data Table'!$C80,'Prior Year Data Pull'!$A$2:$A$593,0),MATCH("Less Accumulated Depreciation",'Prior YTD Data Pull'!$A$1:$CB$1,0)),"")</f>
        <v>0</v>
      </c>
      <c r="AI80" s="38">
        <f>IFERROR(INDEX('Prior YTD Data Pull'!$A$2:$CB$605,MATCH('Prior YTD Data Table'!$C80,'Prior YTD Data Pull'!$A$2:$A$605,0),MATCH("Depreciation and Amortization Expense",'Prior YTD Data Pull'!$A$1:$CB$1,0)),"")</f>
        <v>851000</v>
      </c>
      <c r="AJ80" s="38">
        <f>IFERROR(INDEX('Prior YTD Data Pull'!$A$2:$CB$605,MATCH('Prior YTD Data Table'!$C80,'Prior YTD Data Pull'!$A$2:$A$605,0),MATCH("Net Patient Accounts Receivable",'Prior YTD Data Pull'!$A$1:$CB$1,0)),"")</f>
        <v>0</v>
      </c>
      <c r="AK80" s="14" t="str">
        <f>IF('Prior YTD Data Pull'!$H80 = 6, "183", IF('Prior YTD Data Pull'!$H80 = 3, "93",""))</f>
        <v>183</v>
      </c>
      <c r="AL80" s="38">
        <f>IFERROR(INDEX('Prior YTD Data Pull'!$A$2:$CB$605,MATCH('Prior YTD Data Table'!$C80,'Prior YTD Data Pull'!$A$2:$A$605,0),MATCH("Estimated Third Party Settlements",'Prior YTD Data Pull'!$A$1:$CB$1,0)),"")</f>
        <v>0</v>
      </c>
      <c r="AM80" s="38">
        <f>IFERROR(INDEX('Prior YTD Data Pull'!$A$2:$CB$605,MATCH('Prior YTD Data Table'!$C80,'Prior YTD Data Pull'!$A$2:$A$605,0),MATCH("Current Liabilities due to Affiliates",'Prior YTD Data Pull'!$A$1:$CB$1,0)),"")</f>
        <v>0</v>
      </c>
      <c r="AN80" s="38">
        <f>IFERROR(INDEX('Prior YTD Data Pull'!$A$2:$CB$605,MATCH('Prior YTD Data Table'!$C80,'Prior YTD Data Pull'!$A$2:$A$605,0),MATCH("Short Term Investments",'Prior YTD Data Pull'!$A$1:$CB$1,0)),"")</f>
        <v>0</v>
      </c>
      <c r="AO80" s="38">
        <f>IFERROR(INDEX('Prior YTD Data Pull'!$A$2:$CB$605,MATCH('Prior YTD Data Table'!$C80,'Prior YTD Data Pull'!$A$2:$A$605,0),MATCH("Cash and Cash Equivalents",'Prior YTD Data Pull'!$A$1:$CB$1,0)),"")</f>
        <v>0</v>
      </c>
      <c r="AP80" s="38">
        <f>IFERROR(INDEX('Prior YTD Data Pull'!$A$2:$CB$605,MATCH('Prior YTD Data Table'!$C80,'Prior YTD Data Pull'!$A$2:$A$605,0),MATCH("Interest Expense",'Prior YTD Data Pull'!$A$1:$CB$1,0)),"")</f>
        <v>23000</v>
      </c>
      <c r="AQ80" s="38">
        <f>IFERROR(INDEX('Prior YTD Data Pull'!$A$2:$CB$605,MATCH('Prior YTD Data Table'!$C80,'Prior YTD Data Pull'!$A$2:$A$605,0),MATCH("Long Term Debt Net of Current Portion",'Prior YTD Data Pull'!$A$1:$CB$1,0)),"")</f>
        <v>0</v>
      </c>
      <c r="AR80" s="38">
        <f>IFERROR(INDEX('Prior YTD Data Pull'!$A$2:$CB$605,MATCH('Prior YTD Data Table'!$C80,'Prior YTD Data Pull'!$A$2:$A$605,0),MATCH("Total Assets",'Prior YTD Data Pull'!$A$1:$CB$1,0)),"")</f>
        <v>0</v>
      </c>
      <c r="AS80" s="38">
        <f>IFERROR(INDEX('Prior YTD Data Pull'!$A$2:$CB$605,MATCH('Prior YTD Data Table'!$C80,'Prior YTD Data Pull'!$A$2:$A$605,0),MATCH("Long Term Debt Net of Current Portion",'Prior YTD Data Pull'!$A$1:$CB$1,0)),"")</f>
        <v>0</v>
      </c>
      <c r="AT80" s="38">
        <f>IFERROR(INDEX('Prior YTD Data Pull'!$A$2:$CB$605,MATCH('Prior YTD Data Table'!$C80,'Prior YTD Data Pull'!$A$2:$A$605,0),MATCH("Net Unrestricted Assets",'Prior YTD Data Pull'!$A$1:$CB$1,0)),"")</f>
        <v>0</v>
      </c>
      <c r="AU80" s="38">
        <f>IFERROR(INDEX('Prior YTD Data Pull'!$A$2:$CB$605,MATCH('Prior YTD Data Table'!$C80,'Prior YTD Data Pull'!$A$2:$A$605,0),MATCH("Unrealized Gains/Losses",'Prior YTD Data Pull'!$A$1:$CB$1,0)),"")</f>
        <v>-2467000</v>
      </c>
      <c r="AV80" s="38">
        <f>IFERROR(INDEX('Prior YTD Data Pull'!$A$2:$CB$605,MATCH('Prior YTD Data Table'!$C80,'Prior YTD Data Pull'!$A$2:$A$605,0),MATCH("Salary and Benefit Expense",'Prior YTD Data Pull'!$A$1:$CB$1,0)),"")</f>
        <v>57139000</v>
      </c>
      <c r="AW80" s="38"/>
      <c r="AX80" s="38"/>
      <c r="AY80" s="38"/>
      <c r="AZ80" s="38"/>
    </row>
    <row r="81" spans="1:52" ht="34.200000000000003" x14ac:dyDescent="0.3">
      <c r="A81" s="14" t="str">
        <f>IFERROR(INDEX('Static Data Tab'!$N$2:$N$610,MATCH(D81,'Static Data Tab'!$D$2:$D$610,0)), "")</f>
        <v xml:space="preserve">Baystate Health </v>
      </c>
      <c r="B81" s="57" t="s">
        <v>278</v>
      </c>
      <c r="C81" s="57">
        <v>14417</v>
      </c>
      <c r="D81" s="57">
        <v>4066</v>
      </c>
      <c r="E81" s="14" t="str">
        <f>IFERROR(INDEX('Prior YTD Data Pull'!$A$1:$CB$605,MATCH('Prior YTD Data Table'!$C81,'Prior YTD Data Pull'!$A$1:$A$605,0),MATCH("Organization Type",'Prior YTD Data Pull'!$A$1:$CB$1,0)),"")</f>
        <v>PhysicianOrganization</v>
      </c>
      <c r="F81" s="14" t="str">
        <f>IFERROR(INDEX('Static Data Tab'!$E$2:$E$610,MATCH('Prior YTD Data Table'!$C81,'Static Data Tab'!$B$2:$B$610,0)), "-")</f>
        <v>-</v>
      </c>
      <c r="G81" s="46" t="str">
        <f>IFERROR(INDEX('Static Data Tab'!$J$2:$J$610,MATCH('Prior YTD Data Table'!$C81,'Static Data Tab'!$B$2:$B$610,0)), "")</f>
        <v/>
      </c>
      <c r="H81" s="14" t="str">
        <f>IFERROR(INDEX('Static Data Tab'!$F$2:$F$610,MATCH('Prior YTD Data Table'!$C81,'Static Data Tab'!$B$2:$B$610,0)), "")</f>
        <v/>
      </c>
      <c r="I81" s="14" t="str">
        <f>IFERROR(INDEX('Static Data Tab'!$G$2:$G$610,MATCH('Prior YTD Data Table'!$C81,'Static Data Tab'!$B$2:$B$610,0)), "")</f>
        <v/>
      </c>
      <c r="J81" s="14" t="str">
        <f>IFERROR(INDEX('Prior YTD Data Pull'!$A$2:$CB$605,MATCH('Prior YTD Data Table'!$C81,'Prior YTD Data Pull'!$A$2:$A$605,0),MATCH("Quarter Range",'Prior YTD Data Pull'!$A$1:$CB$1,0)),"")</f>
        <v xml:space="preserve">10/01/2024-03/31/2025
</v>
      </c>
      <c r="K81" s="37" t="str">
        <f t="shared" si="15"/>
        <v/>
      </c>
      <c r="L81" s="37" t="str">
        <f t="shared" si="16"/>
        <v/>
      </c>
      <c r="M81" s="37" t="str">
        <f t="shared" si="17"/>
        <v/>
      </c>
      <c r="N81" s="38">
        <f t="shared" si="18"/>
        <v>0</v>
      </c>
      <c r="O81" s="39" t="str">
        <f t="shared" si="19"/>
        <v/>
      </c>
      <c r="P81" s="38">
        <f>IFERROR(INDEX('Prior YTD Data Pull'!$A$2:$CB$605,MATCH('Prior YTD Data Table'!$C81,'Prior YTD Data Pull'!$A$2:$A$605,0),MATCH("Total Net Assets or Equity",'Prior YTD Data Pull'!$A$1:$CB$1,0)),"")</f>
        <v>0</v>
      </c>
      <c r="Q81" s="38">
        <f>IFERROR(INDEX('Prior YTD Data Pull'!$A$2:$CB$605,MATCH('Prior YTD Data Table'!$C81,'Prior YTD Data Pull'!$A$2:$A$605,0),MATCH("Total Operating Revenue",'Prior YTD Data Pull'!$A$1:$CB$1,0)),"")</f>
        <v>0</v>
      </c>
      <c r="R81" s="38">
        <f>IFERROR(INDEX('Prior YTD Data Pull'!$A$2:$CB$605,MATCH('Prior YTD Data Table'!$C81,'Prior YTD Data Pull'!$A$2:$A$605,0),MATCH("Total Unrestricted Revenue Gains and Other Support",'Prior YTD Data Pull'!$A$1:$CB$1,0)),"")</f>
        <v>0</v>
      </c>
      <c r="S81" s="38" t="str">
        <f>IFERROR(INDEX('Prior YTD TS Data Pull'!$J$2:$J$128,MATCH('Prior YTD Data Table'!$C81, 'Prior YTD TS Data Pull'!$A$2:$A$128,0))+INDEX('Prior YTD TS Data Pull'!$N$2:$N$128,MATCH('Prior YTD Data Table'!$C81,'Prior YTD TS Data Pull'!$A$2:$A$609,0))+INDEX('Prior YTD TS Data Pull'!$R$2:$R$128,MATCH('Prior YTD Data Table'!$C81,'Prior YTD TS Data Pull'!$A$2:$A$609,0)),"")</f>
        <v/>
      </c>
      <c r="T81" s="38" t="e">
        <f>IF(INDEX('Prior YTD TS Data Pull'!$A$1:$O$609,MATCH('Prior YTD Data Table'!$C81,'Prior YTD TS Data Pull'!$A$1:$A$609,0),MATCH("Temporary RN Staffing:
Line Reported on in Standardized Financials",'Prior YTD TS Data Pull'!$A$1:$O$1,0))="66.1: Salary and Benefit Expense",'Prior YTD Data Table'!$AV81-'Prior YTD Data Table'!$S81,0)</f>
        <v>#N/A</v>
      </c>
      <c r="U81" s="38">
        <f>IFERROR(INDEX('Prior YTD Data Pull'!$A$2:$CB$605,MATCH('Prior YTD Data Table'!$C81,'Prior YTD Data Pull'!$A$2:$A$605,0),MATCH("Total Expenses Including Nonrecurring Gains Losses",'Prior YTD Data Pull'!$A$1:$CB$1,0)),"")</f>
        <v>0</v>
      </c>
      <c r="V81" s="41" t="str">
        <f t="shared" si="20"/>
        <v/>
      </c>
      <c r="W81" s="41" t="str">
        <f t="shared" si="21"/>
        <v/>
      </c>
      <c r="X81" s="41" t="str">
        <f t="shared" si="13"/>
        <v/>
      </c>
      <c r="Y81" s="37" t="str">
        <f t="shared" si="22"/>
        <v/>
      </c>
      <c r="Z81" s="41" t="str">
        <f t="shared" si="14"/>
        <v/>
      </c>
      <c r="AA81" s="39" t="str">
        <f t="shared" si="23"/>
        <v/>
      </c>
      <c r="AB81" s="37" t="str">
        <f t="shared" si="24"/>
        <v/>
      </c>
      <c r="AC81" s="37" t="str">
        <f t="shared" si="25"/>
        <v/>
      </c>
      <c r="AD81" s="38">
        <f>IFERROR(INDEX('Prior YTD Data Pull'!$A$2:$CB$605,MATCH('Prior YTD Data Table'!$C81,'Prior YTD Data Pull'!$A$2:$A$605,0),MATCH("Net Patient Service Revenue",'Prior YTD Data Pull'!$A$1:$CB$1,0)),"")</f>
        <v>0</v>
      </c>
      <c r="AE81" s="38">
        <f>IFERROR(INDEX('Prior YTD Data Pull'!$A$2:$CB$605,MATCH('Prior YTD Data Table'!$C81,'Prior YTD Data Pull'!$A$2:$A$605,0),MATCH("Total Current Assets",'Prior YTD Data Pull'!$A$1:$CB$1,0)),"")</f>
        <v>0</v>
      </c>
      <c r="AF81" s="38">
        <f>IFERROR(INDEX('Prior YTD Data Pull'!$A$2:$CB$605,MATCH('Prior YTD Data Table'!$C81,'Prior YTD Data Pull'!$A$2:$A$605,0),MATCH("Total Current Liabilities",'Prior YTD Data Pull'!$A$1:$CB$1,0)),"")</f>
        <v>0</v>
      </c>
      <c r="AG81" s="38">
        <f>IFERROR(INDEX('Prior YTD Data Pull'!$A$2:$CB$605,MATCH('Prior YTD Data Table'!$C81,'Prior YTD Data Pull'!$A$2:$A$605,0),MATCH("Total Non Operating Revenue",'Prior YTD Data Pull'!$A$1:$CB$1,0)),"")</f>
        <v>0</v>
      </c>
      <c r="AH81" s="38">
        <f>IFERROR(INDEX('Prior YTD Data Pull'!$A$2:$CB$605,MATCH('Prior YTD Data Table'!$C81,'Prior Year Data Pull'!$A$2:$A$593,0),MATCH("Less Accumulated Depreciation",'Prior YTD Data Pull'!$A$1:$CB$1,0)),"")</f>
        <v>348220544</v>
      </c>
      <c r="AI81" s="38">
        <f>IFERROR(INDEX('Prior YTD Data Pull'!$A$2:$CB$605,MATCH('Prior YTD Data Table'!$C81,'Prior YTD Data Pull'!$A$2:$A$605,0),MATCH("Depreciation and Amortization Expense",'Prior YTD Data Pull'!$A$1:$CB$1,0)),"")</f>
        <v>0</v>
      </c>
      <c r="AJ81" s="38">
        <f>IFERROR(INDEX('Prior YTD Data Pull'!$A$2:$CB$605,MATCH('Prior YTD Data Table'!$C81,'Prior YTD Data Pull'!$A$2:$A$605,0),MATCH("Net Patient Accounts Receivable",'Prior YTD Data Pull'!$A$1:$CB$1,0)),"")</f>
        <v>0</v>
      </c>
      <c r="AK81" s="14" t="str">
        <f>IF('Prior YTD Data Pull'!$H81 = 6, "183", IF('Prior YTD Data Pull'!$H81 = 3, "93",""))</f>
        <v>183</v>
      </c>
      <c r="AL81" s="38">
        <f>IFERROR(INDEX('Prior YTD Data Pull'!$A$2:$CB$605,MATCH('Prior YTD Data Table'!$C81,'Prior YTD Data Pull'!$A$2:$A$605,0),MATCH("Estimated Third Party Settlements",'Prior YTD Data Pull'!$A$1:$CB$1,0)),"")</f>
        <v>0</v>
      </c>
      <c r="AM81" s="38">
        <f>IFERROR(INDEX('Prior YTD Data Pull'!$A$2:$CB$605,MATCH('Prior YTD Data Table'!$C81,'Prior YTD Data Pull'!$A$2:$A$605,0),MATCH("Current Liabilities due to Affiliates",'Prior YTD Data Pull'!$A$1:$CB$1,0)),"")</f>
        <v>0</v>
      </c>
      <c r="AN81" s="38">
        <f>IFERROR(INDEX('Prior YTD Data Pull'!$A$2:$CB$605,MATCH('Prior YTD Data Table'!$C81,'Prior YTD Data Pull'!$A$2:$A$605,0),MATCH("Short Term Investments",'Prior YTD Data Pull'!$A$1:$CB$1,0)),"")</f>
        <v>0</v>
      </c>
      <c r="AO81" s="38">
        <f>IFERROR(INDEX('Prior YTD Data Pull'!$A$2:$CB$605,MATCH('Prior YTD Data Table'!$C81,'Prior YTD Data Pull'!$A$2:$A$605,0),MATCH("Cash and Cash Equivalents",'Prior YTD Data Pull'!$A$1:$CB$1,0)),"")</f>
        <v>0</v>
      </c>
      <c r="AP81" s="38">
        <f>IFERROR(INDEX('Prior YTD Data Pull'!$A$2:$CB$605,MATCH('Prior YTD Data Table'!$C81,'Prior YTD Data Pull'!$A$2:$A$605,0),MATCH("Interest Expense",'Prior YTD Data Pull'!$A$1:$CB$1,0)),"")</f>
        <v>0</v>
      </c>
      <c r="AQ81" s="38">
        <f>IFERROR(INDEX('Prior YTD Data Pull'!$A$2:$CB$605,MATCH('Prior YTD Data Table'!$C81,'Prior YTD Data Pull'!$A$2:$A$605,0),MATCH("Long Term Debt Net of Current Portion",'Prior YTD Data Pull'!$A$1:$CB$1,0)),"")</f>
        <v>0</v>
      </c>
      <c r="AR81" s="38">
        <f>IFERROR(INDEX('Prior YTD Data Pull'!$A$2:$CB$605,MATCH('Prior YTD Data Table'!$C81,'Prior YTD Data Pull'!$A$2:$A$605,0),MATCH("Total Assets",'Prior YTD Data Pull'!$A$1:$CB$1,0)),"")</f>
        <v>0</v>
      </c>
      <c r="AS81" s="38">
        <f>IFERROR(INDEX('Prior YTD Data Pull'!$A$2:$CB$605,MATCH('Prior YTD Data Table'!$C81,'Prior YTD Data Pull'!$A$2:$A$605,0),MATCH("Long Term Debt Net of Current Portion",'Prior YTD Data Pull'!$A$1:$CB$1,0)),"")</f>
        <v>0</v>
      </c>
      <c r="AT81" s="38">
        <f>IFERROR(INDEX('Prior YTD Data Pull'!$A$2:$CB$605,MATCH('Prior YTD Data Table'!$C81,'Prior YTD Data Pull'!$A$2:$A$605,0),MATCH("Net Unrestricted Assets",'Prior YTD Data Pull'!$A$1:$CB$1,0)),"")</f>
        <v>0</v>
      </c>
      <c r="AU81" s="38">
        <f>IFERROR(INDEX('Prior YTD Data Pull'!$A$2:$CB$605,MATCH('Prior YTD Data Table'!$C81,'Prior YTD Data Pull'!$A$2:$A$605,0),MATCH("Unrealized Gains/Losses",'Prior YTD Data Pull'!$A$1:$CB$1,0)),"")</f>
        <v>0</v>
      </c>
      <c r="AV81" s="38">
        <f>IFERROR(INDEX('Prior YTD Data Pull'!$A$2:$CB$605,MATCH('Prior YTD Data Table'!$C81,'Prior YTD Data Pull'!$A$2:$A$605,0),MATCH("Salary and Benefit Expense",'Prior YTD Data Pull'!$A$1:$CB$1,0)),"")</f>
        <v>0</v>
      </c>
      <c r="AW81" s="47"/>
      <c r="AX81" s="47"/>
      <c r="AY81" s="47"/>
      <c r="AZ81" s="47"/>
    </row>
    <row r="82" spans="1:52" ht="34.200000000000003" x14ac:dyDescent="0.3">
      <c r="A82" s="14" t="str">
        <f>IFERROR(INDEX('Static Data Tab'!$N$2:$N$610,MATCH(D82,'Static Data Tab'!$D$2:$D$610,0)), "")</f>
        <v>Berkshire Health Systems</v>
      </c>
      <c r="B82" s="14" t="s">
        <v>89</v>
      </c>
      <c r="C82" s="14">
        <v>12118</v>
      </c>
      <c r="D82" s="14">
        <v>3106</v>
      </c>
      <c r="E82" s="14" t="str">
        <f>IFERROR(INDEX('Prior YTD Data Pull'!$A$1:$CB$605,MATCH('Prior YTD Data Table'!$C82,'Prior YTD Data Pull'!$A$1:$A$605,0),MATCH("Organization Type",'Prior YTD Data Pull'!$A$1:$CB$1,0)),"")</f>
        <v>PhysicianOrganization</v>
      </c>
      <c r="F82" s="14" t="str">
        <f>IFERROR(INDEX('Static Data Tab'!$E$2:$E$610,MATCH('Prior YTD Data Table'!$C82,'Static Data Tab'!$B$2:$B$610,0)), "-")</f>
        <v>-</v>
      </c>
      <c r="G82" s="46" t="str">
        <f>IFERROR(INDEX('Static Data Tab'!$J$2:$J$610,MATCH('Prior YTD Data Table'!$C82,'Static Data Tab'!$B$2:$B$610,0)), "")</f>
        <v/>
      </c>
      <c r="H82" s="14" t="str">
        <f>IFERROR(INDEX('Static Data Tab'!$F$2:$F$610,MATCH('Prior YTD Data Table'!$C82,'Static Data Tab'!$B$2:$B$610,0)), "")</f>
        <v/>
      </c>
      <c r="I82" s="14" t="str">
        <f>IFERROR(INDEX('Static Data Tab'!$G$2:$G$610,MATCH('Prior YTD Data Table'!$C82,'Static Data Tab'!$B$2:$B$610,0)), "")</f>
        <v/>
      </c>
      <c r="J82" s="14" t="str">
        <f>IFERROR(INDEX('Prior YTD Data Pull'!$A$2:$CB$605,MATCH('Prior YTD Data Table'!$C82,'Prior YTD Data Pull'!$A$2:$A$605,0),MATCH("Quarter Range",'Prior YTD Data Pull'!$A$1:$CB$1,0)),"")</f>
        <v xml:space="preserve">10/01/2024-03/31/2025
</v>
      </c>
      <c r="K82" s="37">
        <f t="shared" si="15"/>
        <v>-0.51461265727799121</v>
      </c>
      <c r="L82" s="37">
        <f t="shared" si="16"/>
        <v>0</v>
      </c>
      <c r="M82" s="37">
        <f t="shared" si="17"/>
        <v>-0.51461265727799121</v>
      </c>
      <c r="N82" s="38">
        <f t="shared" si="18"/>
        <v>-2600540</v>
      </c>
      <c r="O82" s="39" t="str">
        <f t="shared" si="19"/>
        <v/>
      </c>
      <c r="P82" s="38">
        <f>IFERROR(INDEX('Prior YTD Data Pull'!$A$2:$CB$605,MATCH('Prior YTD Data Table'!$C82,'Prior YTD Data Pull'!$A$2:$A$605,0),MATCH("Total Net Assets or Equity",'Prior YTD Data Pull'!$A$1:$CB$1,0)),"")</f>
        <v>0</v>
      </c>
      <c r="Q82" s="38">
        <f>IFERROR(INDEX('Prior YTD Data Pull'!$A$2:$CB$605,MATCH('Prior YTD Data Table'!$C82,'Prior YTD Data Pull'!$A$2:$A$605,0),MATCH("Total Operating Revenue",'Prior YTD Data Pull'!$A$1:$CB$1,0)),"")</f>
        <v>5053393</v>
      </c>
      <c r="R82" s="38">
        <f>IFERROR(INDEX('Prior YTD Data Pull'!$A$2:$CB$605,MATCH('Prior YTD Data Table'!$C82,'Prior YTD Data Pull'!$A$2:$A$605,0),MATCH("Total Unrestricted Revenue Gains and Other Support",'Prior YTD Data Pull'!$A$1:$CB$1,0)),"")</f>
        <v>5053393</v>
      </c>
      <c r="S82" s="38">
        <f>IFERROR(INDEX('Prior YTD TS Data Pull'!$J$2:$J$128,MATCH('Prior YTD Data Table'!$C82, 'Prior YTD TS Data Pull'!$A$2:$A$128,0))+INDEX('Prior YTD TS Data Pull'!$N$2:$N$128,MATCH('Prior YTD Data Table'!$C82,'Prior YTD TS Data Pull'!$A$2:$A$609,0))+INDEX('Prior YTD TS Data Pull'!$R$2:$R$128,MATCH('Prior YTD Data Table'!$C82,'Prior YTD TS Data Pull'!$A$2:$A$609,0)),"")</f>
        <v>46200</v>
      </c>
      <c r="T82" s="38">
        <f>IF(INDEX('Prior YTD TS Data Pull'!$A$1:$O$609,MATCH('Prior YTD Data Table'!$C82,'Prior YTD TS Data Pull'!$A$1:$A$609,0),MATCH("Temporary RN Staffing:
Line Reported on in Standardized Financials",'Prior YTD TS Data Pull'!$A$1:$O$1,0))="66.1: Salary and Benefit Expense",'Prior YTD Data Table'!$AV82-'Prior YTD Data Table'!$S82,0)</f>
        <v>0</v>
      </c>
      <c r="U82" s="38">
        <f>IFERROR(INDEX('Prior YTD Data Pull'!$A$2:$CB$605,MATCH('Prior YTD Data Table'!$C82,'Prior YTD Data Pull'!$A$2:$A$605,0),MATCH("Total Expenses Including Nonrecurring Gains Losses",'Prior YTD Data Pull'!$A$1:$CB$1,0)),"")</f>
        <v>7653933</v>
      </c>
      <c r="V82" s="41" t="str">
        <f t="shared" si="20"/>
        <v/>
      </c>
      <c r="W82" s="41">
        <f t="shared" si="21"/>
        <v>0</v>
      </c>
      <c r="X82" s="41">
        <f t="shared" si="13"/>
        <v>0</v>
      </c>
      <c r="Y82" s="37" t="str">
        <f t="shared" si="22"/>
        <v/>
      </c>
      <c r="Z82" s="41">
        <f t="shared" si="14"/>
        <v>0</v>
      </c>
      <c r="AA82" s="39" t="str">
        <f t="shared" si="23"/>
        <v/>
      </c>
      <c r="AB82" s="37" t="str">
        <f t="shared" si="24"/>
        <v/>
      </c>
      <c r="AC82" s="37" t="str">
        <f t="shared" si="25"/>
        <v/>
      </c>
      <c r="AD82" s="38">
        <f>IFERROR(INDEX('Prior YTD Data Pull'!$A$2:$CB$605,MATCH('Prior YTD Data Table'!$C82,'Prior YTD Data Pull'!$A$2:$A$605,0),MATCH("Net Patient Service Revenue",'Prior YTD Data Pull'!$A$1:$CB$1,0)),"")</f>
        <v>5006468</v>
      </c>
      <c r="AE82" s="38">
        <f>IFERROR(INDEX('Prior YTD Data Pull'!$A$2:$CB$605,MATCH('Prior YTD Data Table'!$C82,'Prior YTD Data Pull'!$A$2:$A$605,0),MATCH("Total Current Assets",'Prior YTD Data Pull'!$A$1:$CB$1,0)),"")</f>
        <v>0</v>
      </c>
      <c r="AF82" s="38">
        <f>IFERROR(INDEX('Prior YTD Data Pull'!$A$2:$CB$605,MATCH('Prior YTD Data Table'!$C82,'Prior YTD Data Pull'!$A$2:$A$605,0),MATCH("Total Current Liabilities",'Prior YTD Data Pull'!$A$1:$CB$1,0)),"")</f>
        <v>0</v>
      </c>
      <c r="AG82" s="38">
        <f>IFERROR(INDEX('Prior YTD Data Pull'!$A$2:$CB$605,MATCH('Prior YTD Data Table'!$C82,'Prior YTD Data Pull'!$A$2:$A$605,0),MATCH("Total Non Operating Revenue",'Prior YTD Data Pull'!$A$1:$CB$1,0)),"")</f>
        <v>0</v>
      </c>
      <c r="AH82" s="38">
        <f>IFERROR(INDEX('Prior YTD Data Pull'!$A$2:$CB$605,MATCH('Prior YTD Data Table'!$C82,'Prior Year Data Pull'!$A$2:$A$593,0),MATCH("Less Accumulated Depreciation",'Prior YTD Data Pull'!$A$1:$CB$1,0)),"")</f>
        <v>107429000</v>
      </c>
      <c r="AI82" s="38">
        <f>IFERROR(INDEX('Prior YTD Data Pull'!$A$2:$CB$605,MATCH('Prior YTD Data Table'!$C82,'Prior YTD Data Pull'!$A$2:$A$605,0),MATCH("Depreciation and Amortization Expense",'Prior YTD Data Pull'!$A$1:$CB$1,0)),"")</f>
        <v>0</v>
      </c>
      <c r="AJ82" s="38">
        <f>IFERROR(INDEX('Prior YTD Data Pull'!$A$2:$CB$605,MATCH('Prior YTD Data Table'!$C82,'Prior YTD Data Pull'!$A$2:$A$605,0),MATCH("Net Patient Accounts Receivable",'Prior YTD Data Pull'!$A$1:$CB$1,0)),"")</f>
        <v>0</v>
      </c>
      <c r="AK82" s="14" t="str">
        <f>IF('Prior YTD Data Pull'!$H82 = 6, "183", IF('Prior YTD Data Pull'!$H82 = 3, "93",""))</f>
        <v>183</v>
      </c>
      <c r="AL82" s="38">
        <f>IFERROR(INDEX('Prior YTD Data Pull'!$A$2:$CB$605,MATCH('Prior YTD Data Table'!$C82,'Prior YTD Data Pull'!$A$2:$A$605,0),MATCH("Estimated Third Party Settlements",'Prior YTD Data Pull'!$A$1:$CB$1,0)),"")</f>
        <v>0</v>
      </c>
      <c r="AM82" s="38">
        <f>IFERROR(INDEX('Prior YTD Data Pull'!$A$2:$CB$605,MATCH('Prior YTD Data Table'!$C82,'Prior YTD Data Pull'!$A$2:$A$605,0),MATCH("Current Liabilities due to Affiliates",'Prior YTD Data Pull'!$A$1:$CB$1,0)),"")</f>
        <v>0</v>
      </c>
      <c r="AN82" s="38">
        <f>IFERROR(INDEX('Prior YTD Data Pull'!$A$2:$CB$605,MATCH('Prior YTD Data Table'!$C82,'Prior YTD Data Pull'!$A$2:$A$605,0),MATCH("Short Term Investments",'Prior YTD Data Pull'!$A$1:$CB$1,0)),"")</f>
        <v>0</v>
      </c>
      <c r="AO82" s="38">
        <f>IFERROR(INDEX('Prior YTD Data Pull'!$A$2:$CB$605,MATCH('Prior YTD Data Table'!$C82,'Prior YTD Data Pull'!$A$2:$A$605,0),MATCH("Cash and Cash Equivalents",'Prior YTD Data Pull'!$A$1:$CB$1,0)),"")</f>
        <v>0</v>
      </c>
      <c r="AP82" s="38">
        <f>IFERROR(INDEX('Prior YTD Data Pull'!$A$2:$CB$605,MATCH('Prior YTD Data Table'!$C82,'Prior YTD Data Pull'!$A$2:$A$605,0),MATCH("Interest Expense",'Prior YTD Data Pull'!$A$1:$CB$1,0)),"")</f>
        <v>0</v>
      </c>
      <c r="AQ82" s="38">
        <f>IFERROR(INDEX('Prior YTD Data Pull'!$A$2:$CB$605,MATCH('Prior YTD Data Table'!$C82,'Prior YTD Data Pull'!$A$2:$A$605,0),MATCH("Long Term Debt Net of Current Portion",'Prior YTD Data Pull'!$A$1:$CB$1,0)),"")</f>
        <v>0</v>
      </c>
      <c r="AR82" s="38">
        <f>IFERROR(INDEX('Prior YTD Data Pull'!$A$2:$CB$605,MATCH('Prior YTD Data Table'!$C82,'Prior YTD Data Pull'!$A$2:$A$605,0),MATCH("Total Assets",'Prior YTD Data Pull'!$A$1:$CB$1,0)),"")</f>
        <v>0</v>
      </c>
      <c r="AS82" s="38">
        <f>IFERROR(INDEX('Prior YTD Data Pull'!$A$2:$CB$605,MATCH('Prior YTD Data Table'!$C82,'Prior YTD Data Pull'!$A$2:$A$605,0),MATCH("Long Term Debt Net of Current Portion",'Prior YTD Data Pull'!$A$1:$CB$1,0)),"")</f>
        <v>0</v>
      </c>
      <c r="AT82" s="38">
        <f>IFERROR(INDEX('Prior YTD Data Pull'!$A$2:$CB$605,MATCH('Prior YTD Data Table'!$C82,'Prior YTD Data Pull'!$A$2:$A$605,0),MATCH("Net Unrestricted Assets",'Prior YTD Data Pull'!$A$1:$CB$1,0)),"")</f>
        <v>0</v>
      </c>
      <c r="AU82" s="38">
        <f>IFERROR(INDEX('Prior YTD Data Pull'!$A$2:$CB$605,MATCH('Prior YTD Data Table'!$C82,'Prior YTD Data Pull'!$A$2:$A$605,0),MATCH("Unrealized Gains/Losses",'Prior YTD Data Pull'!$A$1:$CB$1,0)),"")</f>
        <v>0</v>
      </c>
      <c r="AV82" s="38">
        <f>IFERROR(INDEX('Prior YTD Data Pull'!$A$2:$CB$605,MATCH('Prior YTD Data Table'!$C82,'Prior YTD Data Pull'!$A$2:$A$605,0),MATCH("Salary and Benefit Expense",'Prior YTD Data Pull'!$A$1:$CB$1,0)),"")</f>
        <v>6197483</v>
      </c>
      <c r="AW82" s="38"/>
      <c r="AX82" s="38"/>
      <c r="AY82" s="38"/>
      <c r="AZ82" s="38"/>
    </row>
    <row r="83" spans="1:52" ht="34.200000000000003" x14ac:dyDescent="0.3">
      <c r="A83" s="14" t="str">
        <f>IFERROR(INDEX('Static Data Tab'!$N$2:$N$610,MATCH(D83,'Static Data Tab'!$D$2:$D$610,0)), "")</f>
        <v>Boston Medical Center Health System</v>
      </c>
      <c r="B83" s="57" t="s">
        <v>119</v>
      </c>
      <c r="C83" s="57">
        <v>13198</v>
      </c>
      <c r="D83" s="57">
        <v>14287</v>
      </c>
      <c r="E83" s="14" t="str">
        <f>IFERROR(INDEX('Prior YTD Data Pull'!$A$1:$CB$605,MATCH('Prior YTD Data Table'!$C83,'Prior YTD Data Pull'!$A$1:$A$605,0),MATCH("Organization Type",'Prior YTD Data Pull'!$A$1:$CB$1,0)),"")</f>
        <v>PhysicianOrganization</v>
      </c>
      <c r="F83" s="14" t="str">
        <f>IFERROR(INDEX('Static Data Tab'!$E$2:$E$610,MATCH('Prior YTD Data Table'!$C83,'Static Data Tab'!$B$2:$B$610,0)), "-")</f>
        <v>-</v>
      </c>
      <c r="G83" s="46" t="str">
        <f>IFERROR(INDEX('Static Data Tab'!$J$2:$J$610,MATCH('Prior YTD Data Table'!$C83,'Static Data Tab'!$B$2:$B$610,0)), "")</f>
        <v/>
      </c>
      <c r="H83" s="14" t="str">
        <f>IFERROR(INDEX('Static Data Tab'!$F$2:$F$610,MATCH('Prior YTD Data Table'!$C83,'Static Data Tab'!$B$2:$B$610,0)), "")</f>
        <v/>
      </c>
      <c r="I83" s="14" t="str">
        <f>IFERROR(INDEX('Static Data Tab'!$G$2:$G$610,MATCH('Prior YTD Data Table'!$C83,'Static Data Tab'!$B$2:$B$610,0)), "")</f>
        <v/>
      </c>
      <c r="J83" s="14" t="str">
        <f>IFERROR(INDEX('Prior YTD Data Pull'!$A$2:$CB$605,MATCH('Prior YTD Data Table'!$C83,'Prior YTD Data Pull'!$A$2:$A$605,0),MATCH("Quarter Range",'Prior YTD Data Pull'!$A$1:$CB$1,0)),"")</f>
        <v xml:space="preserve">10/01/2024-03/31/2025
</v>
      </c>
      <c r="K83" s="37">
        <f t="shared" si="15"/>
        <v>-0.44873374030509344</v>
      </c>
      <c r="L83" s="37">
        <f t="shared" si="16"/>
        <v>0</v>
      </c>
      <c r="M83" s="37">
        <f t="shared" si="17"/>
        <v>-0.44873374030509344</v>
      </c>
      <c r="N83" s="38">
        <f t="shared" si="18"/>
        <v>-99456</v>
      </c>
      <c r="O83" s="39" t="str">
        <f t="shared" si="19"/>
        <v/>
      </c>
      <c r="P83" s="38">
        <f>IFERROR(INDEX('Prior YTD Data Pull'!$A$2:$CB$605,MATCH('Prior YTD Data Table'!$C83,'Prior YTD Data Pull'!$A$2:$A$605,0),MATCH("Total Net Assets or Equity",'Prior YTD Data Pull'!$A$1:$CB$1,0)),"")</f>
        <v>0</v>
      </c>
      <c r="Q83" s="38">
        <f>IFERROR(INDEX('Prior YTD Data Pull'!$A$2:$CB$605,MATCH('Prior YTD Data Table'!$C83,'Prior YTD Data Pull'!$A$2:$A$605,0),MATCH("Total Operating Revenue",'Prior YTD Data Pull'!$A$1:$CB$1,0)),"")</f>
        <v>221637</v>
      </c>
      <c r="R83" s="38">
        <f>IFERROR(INDEX('Prior YTD Data Pull'!$A$2:$CB$605,MATCH('Prior YTD Data Table'!$C83,'Prior YTD Data Pull'!$A$2:$A$605,0),MATCH("Total Unrestricted Revenue Gains and Other Support",'Prior YTD Data Pull'!$A$1:$CB$1,0)),"")</f>
        <v>221637</v>
      </c>
      <c r="S83" s="38">
        <f>IFERROR(INDEX('Prior YTD TS Data Pull'!$J$2:$J$128,MATCH('Prior YTD Data Table'!$C83, 'Prior YTD TS Data Pull'!$A$2:$A$128,0))+INDEX('Prior YTD TS Data Pull'!$N$2:$N$128,MATCH('Prior YTD Data Table'!$C83,'Prior YTD TS Data Pull'!$A$2:$A$609,0))+INDEX('Prior YTD TS Data Pull'!$R$2:$R$128,MATCH('Prior YTD Data Table'!$C83,'Prior YTD TS Data Pull'!$A$2:$A$609,0)),"")</f>
        <v>0</v>
      </c>
      <c r="T83" s="38">
        <f>IF(INDEX('Prior YTD TS Data Pull'!$A$1:$O$609,MATCH('Prior YTD Data Table'!$C83,'Prior YTD TS Data Pull'!$A$1:$A$609,0),MATCH("Temporary RN Staffing:
Line Reported on in Standardized Financials",'Prior YTD TS Data Pull'!$A$1:$O$1,0))="66.1: Salary and Benefit Expense",'Prior YTD Data Table'!$AV83-'Prior YTD Data Table'!$S83,0)</f>
        <v>0</v>
      </c>
      <c r="U83" s="38">
        <f>IFERROR(INDEX('Prior YTD Data Pull'!$A$2:$CB$605,MATCH('Prior YTD Data Table'!$C83,'Prior YTD Data Pull'!$A$2:$A$605,0),MATCH("Total Expenses Including Nonrecurring Gains Losses",'Prior YTD Data Pull'!$A$1:$CB$1,0)),"")</f>
        <v>321093</v>
      </c>
      <c r="V83" s="41" t="str">
        <f t="shared" si="20"/>
        <v/>
      </c>
      <c r="W83" s="41">
        <f t="shared" si="21"/>
        <v>0</v>
      </c>
      <c r="X83" s="41">
        <f t="shared" si="13"/>
        <v>0</v>
      </c>
      <c r="Y83" s="37" t="str">
        <f t="shared" si="22"/>
        <v/>
      </c>
      <c r="Z83" s="41">
        <f t="shared" si="14"/>
        <v>0</v>
      </c>
      <c r="AA83" s="39" t="str">
        <f t="shared" si="23"/>
        <v/>
      </c>
      <c r="AB83" s="37" t="str">
        <f t="shared" si="24"/>
        <v/>
      </c>
      <c r="AC83" s="37" t="str">
        <f t="shared" si="25"/>
        <v/>
      </c>
      <c r="AD83" s="38">
        <f>IFERROR(INDEX('Prior YTD Data Pull'!$A$2:$CB$605,MATCH('Prior YTD Data Table'!$C83,'Prior YTD Data Pull'!$A$2:$A$605,0),MATCH("Net Patient Service Revenue",'Prior YTD Data Pull'!$A$1:$CB$1,0)),"")</f>
        <v>41353</v>
      </c>
      <c r="AE83" s="38">
        <f>IFERROR(INDEX('Prior YTD Data Pull'!$A$2:$CB$605,MATCH('Prior YTD Data Table'!$C83,'Prior YTD Data Pull'!$A$2:$A$605,0),MATCH("Total Current Assets",'Prior YTD Data Pull'!$A$1:$CB$1,0)),"")</f>
        <v>0</v>
      </c>
      <c r="AF83" s="38">
        <f>IFERROR(INDEX('Prior YTD Data Pull'!$A$2:$CB$605,MATCH('Prior YTD Data Table'!$C83,'Prior YTD Data Pull'!$A$2:$A$605,0),MATCH("Total Current Liabilities",'Prior YTD Data Pull'!$A$1:$CB$1,0)),"")</f>
        <v>0</v>
      </c>
      <c r="AG83" s="38">
        <f>IFERROR(INDEX('Prior YTD Data Pull'!$A$2:$CB$605,MATCH('Prior YTD Data Table'!$C83,'Prior YTD Data Pull'!$A$2:$A$605,0),MATCH("Total Non Operating Revenue",'Prior YTD Data Pull'!$A$1:$CB$1,0)),"")</f>
        <v>0</v>
      </c>
      <c r="AH83" s="38">
        <f>IFERROR(INDEX('Prior YTD Data Pull'!$A$2:$CB$605,MATCH('Prior YTD Data Table'!$C83,'Prior Year Data Pull'!$A$2:$A$593,0),MATCH("Less Accumulated Depreciation",'Prior YTD Data Pull'!$A$1:$CB$1,0)),"")</f>
        <v>198179000</v>
      </c>
      <c r="AI83" s="38">
        <f>IFERROR(INDEX('Prior YTD Data Pull'!$A$2:$CB$605,MATCH('Prior YTD Data Table'!$C83,'Prior YTD Data Pull'!$A$2:$A$605,0),MATCH("Depreciation and Amortization Expense",'Prior YTD Data Pull'!$A$1:$CB$1,0)),"")</f>
        <v>0</v>
      </c>
      <c r="AJ83" s="38">
        <f>IFERROR(INDEX('Prior YTD Data Pull'!$A$2:$CB$605,MATCH('Prior YTD Data Table'!$C83,'Prior YTD Data Pull'!$A$2:$A$605,0),MATCH("Net Patient Accounts Receivable",'Prior YTD Data Pull'!$A$1:$CB$1,0)),"")</f>
        <v>0</v>
      </c>
      <c r="AK83" s="14" t="str">
        <f>IF('Prior YTD Data Pull'!$H83 = 6, "183", IF('Prior YTD Data Pull'!$H83 = 3, "93",""))</f>
        <v>183</v>
      </c>
      <c r="AL83" s="38">
        <f>IFERROR(INDEX('Prior YTD Data Pull'!$A$2:$CB$605,MATCH('Prior YTD Data Table'!$C83,'Prior YTD Data Pull'!$A$2:$A$605,0),MATCH("Estimated Third Party Settlements",'Prior YTD Data Pull'!$A$1:$CB$1,0)),"")</f>
        <v>0</v>
      </c>
      <c r="AM83" s="38">
        <f>IFERROR(INDEX('Prior YTD Data Pull'!$A$2:$CB$605,MATCH('Prior YTD Data Table'!$C83,'Prior YTD Data Pull'!$A$2:$A$605,0),MATCH("Current Liabilities due to Affiliates",'Prior YTD Data Pull'!$A$1:$CB$1,0)),"")</f>
        <v>0</v>
      </c>
      <c r="AN83" s="38">
        <f>IFERROR(INDEX('Prior YTD Data Pull'!$A$2:$CB$605,MATCH('Prior YTD Data Table'!$C83,'Prior YTD Data Pull'!$A$2:$A$605,0),MATCH("Short Term Investments",'Prior YTD Data Pull'!$A$1:$CB$1,0)),"")</f>
        <v>0</v>
      </c>
      <c r="AO83" s="38">
        <f>IFERROR(INDEX('Prior YTD Data Pull'!$A$2:$CB$605,MATCH('Prior YTD Data Table'!$C83,'Prior YTD Data Pull'!$A$2:$A$605,0),MATCH("Cash and Cash Equivalents",'Prior YTD Data Pull'!$A$1:$CB$1,0)),"")</f>
        <v>0</v>
      </c>
      <c r="AP83" s="38">
        <f>IFERROR(INDEX('Prior YTD Data Pull'!$A$2:$CB$605,MATCH('Prior YTD Data Table'!$C83,'Prior YTD Data Pull'!$A$2:$A$605,0),MATCH("Interest Expense",'Prior YTD Data Pull'!$A$1:$CB$1,0)),"")</f>
        <v>0</v>
      </c>
      <c r="AQ83" s="38">
        <f>IFERROR(INDEX('Prior YTD Data Pull'!$A$2:$CB$605,MATCH('Prior YTD Data Table'!$C83,'Prior YTD Data Pull'!$A$2:$A$605,0),MATCH("Long Term Debt Net of Current Portion",'Prior YTD Data Pull'!$A$1:$CB$1,0)),"")</f>
        <v>0</v>
      </c>
      <c r="AR83" s="38">
        <f>IFERROR(INDEX('Prior YTD Data Pull'!$A$2:$CB$605,MATCH('Prior YTD Data Table'!$C83,'Prior YTD Data Pull'!$A$2:$A$605,0),MATCH("Total Assets",'Prior YTD Data Pull'!$A$1:$CB$1,0)),"")</f>
        <v>0</v>
      </c>
      <c r="AS83" s="38">
        <f>IFERROR(INDEX('Prior YTD Data Pull'!$A$2:$CB$605,MATCH('Prior YTD Data Table'!$C83,'Prior YTD Data Pull'!$A$2:$A$605,0),MATCH("Long Term Debt Net of Current Portion",'Prior YTD Data Pull'!$A$1:$CB$1,0)),"")</f>
        <v>0</v>
      </c>
      <c r="AT83" s="38">
        <f>IFERROR(INDEX('Prior YTD Data Pull'!$A$2:$CB$605,MATCH('Prior YTD Data Table'!$C83,'Prior YTD Data Pull'!$A$2:$A$605,0),MATCH("Net Unrestricted Assets",'Prior YTD Data Pull'!$A$1:$CB$1,0)),"")</f>
        <v>0</v>
      </c>
      <c r="AU83" s="38">
        <f>IFERROR(INDEX('Prior YTD Data Pull'!$A$2:$CB$605,MATCH('Prior YTD Data Table'!$C83,'Prior YTD Data Pull'!$A$2:$A$605,0),MATCH("Unrealized Gains/Losses",'Prior YTD Data Pull'!$A$1:$CB$1,0)),"")</f>
        <v>0</v>
      </c>
      <c r="AV83" s="38">
        <f>IFERROR(INDEX('Prior YTD Data Pull'!$A$2:$CB$605,MATCH('Prior YTD Data Table'!$C83,'Prior YTD Data Pull'!$A$2:$A$605,0),MATCH("Salary and Benefit Expense",'Prior YTD Data Pull'!$A$1:$CB$1,0)),"")</f>
        <v>301609</v>
      </c>
      <c r="AW83" s="47"/>
      <c r="AX83" s="47"/>
      <c r="AY83" s="47"/>
      <c r="AZ83" s="47"/>
    </row>
    <row r="84" spans="1:52" ht="34.200000000000003" x14ac:dyDescent="0.3">
      <c r="A84" s="14" t="str">
        <f>IFERROR(INDEX('Static Data Tab'!$N$2:$N$610,MATCH(D84,'Static Data Tab'!$D$2:$D$610,0)), "")</f>
        <v>Tenet Healthcare</v>
      </c>
      <c r="B84" s="14" t="s">
        <v>617</v>
      </c>
      <c r="C84" s="14">
        <v>14427</v>
      </c>
      <c r="D84" s="14">
        <v>3888</v>
      </c>
      <c r="E84" s="14" t="str">
        <f>IFERROR(INDEX('Prior YTD Data Pull'!$A$1:$CB$605,MATCH('Prior YTD Data Table'!$C84,'Prior YTD Data Pull'!$A$1:$A$605,0),MATCH("Organization Type",'Prior YTD Data Pull'!$A$1:$CB$1,0)),"")</f>
        <v>PhysicianOrganization</v>
      </c>
      <c r="F84" s="14" t="str">
        <f>IFERROR(INDEX('Static Data Tab'!$E$2:$E$610,MATCH('Prior YTD Data Table'!$C84,'Static Data Tab'!$B$2:$B$610,0)), "-")</f>
        <v>-</v>
      </c>
      <c r="G84" s="46" t="str">
        <f>IFERROR(INDEX('Static Data Tab'!$J$2:$J$610,MATCH('Prior YTD Data Table'!$C84,'Static Data Tab'!$B$2:$B$610,0)), "")</f>
        <v/>
      </c>
      <c r="H84" s="14" t="str">
        <f>IFERROR(INDEX('Static Data Tab'!$F$2:$F$610,MATCH('Prior YTD Data Table'!$C84,'Static Data Tab'!$B$2:$B$610,0)), "")</f>
        <v/>
      </c>
      <c r="I84" s="14" t="str">
        <f>IFERROR(INDEX('Static Data Tab'!$G$2:$G$610,MATCH('Prior YTD Data Table'!$C84,'Static Data Tab'!$B$2:$B$610,0)), "")</f>
        <v/>
      </c>
      <c r="J84" s="14" t="str">
        <f>IFERROR(INDEX('Prior YTD Data Pull'!$A$2:$CB$605,MATCH('Prior YTD Data Table'!$C84,'Prior YTD Data Pull'!$A$2:$A$605,0),MATCH("Quarter Range",'Prior YTD Data Pull'!$A$1:$CB$1,0)),"")</f>
        <v xml:space="preserve">01/01/2025-03/31/2025
</v>
      </c>
      <c r="K84" s="37">
        <f t="shared" si="15"/>
        <v>-0.41904165774104057</v>
      </c>
      <c r="L84" s="37">
        <f t="shared" si="16"/>
        <v>1.4937514716218203E-5</v>
      </c>
      <c r="M84" s="37">
        <f t="shared" si="17"/>
        <v>-0.41902672022632437</v>
      </c>
      <c r="N84" s="38">
        <f t="shared" si="18"/>
        <v>-3787016</v>
      </c>
      <c r="O84" s="39" t="str">
        <f t="shared" si="19"/>
        <v/>
      </c>
      <c r="P84" s="38">
        <f>IFERROR(INDEX('Prior YTD Data Pull'!$A$2:$CB$605,MATCH('Prior YTD Data Table'!$C84,'Prior YTD Data Pull'!$A$2:$A$605,0),MATCH("Total Net Assets or Equity",'Prior YTD Data Pull'!$A$1:$CB$1,0)),"")</f>
        <v>0</v>
      </c>
      <c r="Q84" s="38">
        <f>IFERROR(INDEX('Prior YTD Data Pull'!$A$2:$CB$605,MATCH('Prior YTD Data Table'!$C84,'Prior YTD Data Pull'!$A$2:$A$605,0),MATCH("Total Operating Revenue",'Prior YTD Data Pull'!$A$1:$CB$1,0)),"")</f>
        <v>9037513</v>
      </c>
      <c r="R84" s="38">
        <f>IFERROR(INDEX('Prior YTD Data Pull'!$A$2:$CB$605,MATCH('Prior YTD Data Table'!$C84,'Prior YTD Data Pull'!$A$2:$A$605,0),MATCH("Total Unrestricted Revenue Gains and Other Support",'Prior YTD Data Pull'!$A$1:$CB$1,0)),"")</f>
        <v>9037648</v>
      </c>
      <c r="S84" s="38" t="str">
        <f>IFERROR(INDEX('Prior YTD TS Data Pull'!$J$2:$J$128,MATCH('Prior YTD Data Table'!$C84, 'Prior YTD TS Data Pull'!$A$2:$A$128,0))+INDEX('Prior YTD TS Data Pull'!$N$2:$N$128,MATCH('Prior YTD Data Table'!$C84,'Prior YTD TS Data Pull'!$A$2:$A$609,0))+INDEX('Prior YTD TS Data Pull'!$R$2:$R$128,MATCH('Prior YTD Data Table'!$C84,'Prior YTD TS Data Pull'!$A$2:$A$609,0)),"")</f>
        <v/>
      </c>
      <c r="T84" s="38" t="e">
        <f>IF(INDEX('Prior YTD TS Data Pull'!$A$1:$O$609,MATCH('Prior YTD Data Table'!$C84,'Prior YTD TS Data Pull'!$A$1:$A$609,0),MATCH("Temporary RN Staffing:
Line Reported on in Standardized Financials",'Prior YTD TS Data Pull'!$A$1:$O$1,0))="66.1: Salary and Benefit Expense",'Prior YTD Data Table'!$AV84-'Prior YTD Data Table'!$S84,0)</f>
        <v>#N/A</v>
      </c>
      <c r="U84" s="38">
        <f>IFERROR(INDEX('Prior YTD Data Pull'!$A$2:$CB$605,MATCH('Prior YTD Data Table'!$C84,'Prior YTD Data Pull'!$A$2:$A$605,0),MATCH("Total Expenses Including Nonrecurring Gains Losses",'Prior YTD Data Pull'!$A$1:$CB$1,0)),"")</f>
        <v>12824664</v>
      </c>
      <c r="V84" s="41" t="str">
        <f t="shared" si="20"/>
        <v/>
      </c>
      <c r="W84" s="41">
        <f t="shared" si="21"/>
        <v>0</v>
      </c>
      <c r="X84" s="41">
        <f t="shared" si="13"/>
        <v>0</v>
      </c>
      <c r="Y84" s="37" t="str">
        <f t="shared" si="22"/>
        <v/>
      </c>
      <c r="Z84" s="41">
        <f t="shared" si="14"/>
        <v>0</v>
      </c>
      <c r="AA84" s="39">
        <f t="shared" si="23"/>
        <v>-67.205107741420591</v>
      </c>
      <c r="AB84" s="37" t="str">
        <f t="shared" si="24"/>
        <v/>
      </c>
      <c r="AC84" s="37" t="str">
        <f t="shared" si="25"/>
        <v/>
      </c>
      <c r="AD84" s="38">
        <f>IFERROR(INDEX('Prior YTD Data Pull'!$A$2:$CB$605,MATCH('Prior YTD Data Table'!$C84,'Prior YTD Data Pull'!$A$2:$A$605,0),MATCH("Net Patient Service Revenue",'Prior YTD Data Pull'!$A$1:$CB$1,0)),"")</f>
        <v>7678754</v>
      </c>
      <c r="AE84" s="38">
        <f>IFERROR(INDEX('Prior YTD Data Pull'!$A$2:$CB$605,MATCH('Prior YTD Data Table'!$C84,'Prior YTD Data Pull'!$A$2:$A$605,0),MATCH("Total Current Assets",'Prior YTD Data Pull'!$A$1:$CB$1,0)),"")</f>
        <v>0</v>
      </c>
      <c r="AF84" s="38">
        <f>IFERROR(INDEX('Prior YTD Data Pull'!$A$2:$CB$605,MATCH('Prior YTD Data Table'!$C84,'Prior YTD Data Pull'!$A$2:$A$605,0),MATCH("Total Current Liabilities",'Prior YTD Data Pull'!$A$1:$CB$1,0)),"")</f>
        <v>0</v>
      </c>
      <c r="AG84" s="38">
        <f>IFERROR(INDEX('Prior YTD Data Pull'!$A$2:$CB$605,MATCH('Prior YTD Data Table'!$C84,'Prior YTD Data Pull'!$A$2:$A$605,0),MATCH("Total Non Operating Revenue",'Prior YTD Data Pull'!$A$1:$CB$1,0)),"")</f>
        <v>135</v>
      </c>
      <c r="AH84" s="38" t="str">
        <f>IFERROR(INDEX('Prior YTD Data Pull'!$A$2:$CB$605,MATCH('Prior YTD Data Table'!$C84,'Prior Year Data Pull'!$A$2:$A$593,0),MATCH("Less Accumulated Depreciation",'Prior YTD Data Pull'!$A$1:$CB$1,0)),"")</f>
        <v/>
      </c>
      <c r="AI84" s="38">
        <f>IFERROR(INDEX('Prior YTD Data Pull'!$A$2:$CB$605,MATCH('Prior YTD Data Table'!$C84,'Prior YTD Data Pull'!$A$2:$A$605,0),MATCH("Depreciation and Amortization Expense",'Prior YTD Data Pull'!$A$1:$CB$1,0)),"")</f>
        <v>112193</v>
      </c>
      <c r="AJ84" s="38">
        <f>IFERROR(INDEX('Prior YTD Data Pull'!$A$2:$CB$605,MATCH('Prior YTD Data Table'!$C84,'Prior YTD Data Pull'!$A$2:$A$605,0),MATCH("Net Patient Accounts Receivable",'Prior YTD Data Pull'!$A$1:$CB$1,0)),"")</f>
        <v>0</v>
      </c>
      <c r="AK84" s="14" t="str">
        <f>IF('Prior YTD Data Pull'!$H84 = 6, "183", IF('Prior YTD Data Pull'!$H84 = 3, "93",""))</f>
        <v>183</v>
      </c>
      <c r="AL84" s="38">
        <f>IFERROR(INDEX('Prior YTD Data Pull'!$A$2:$CB$605,MATCH('Prior YTD Data Table'!$C84,'Prior YTD Data Pull'!$A$2:$A$605,0),MATCH("Estimated Third Party Settlements",'Prior YTD Data Pull'!$A$1:$CB$1,0)),"")</f>
        <v>0</v>
      </c>
      <c r="AM84" s="38">
        <f>IFERROR(INDEX('Prior YTD Data Pull'!$A$2:$CB$605,MATCH('Prior YTD Data Table'!$C84,'Prior YTD Data Pull'!$A$2:$A$605,0),MATCH("Current Liabilities due to Affiliates",'Prior YTD Data Pull'!$A$1:$CB$1,0)),"")</f>
        <v>0</v>
      </c>
      <c r="AN84" s="38">
        <f>IFERROR(INDEX('Prior YTD Data Pull'!$A$2:$CB$605,MATCH('Prior YTD Data Table'!$C84,'Prior YTD Data Pull'!$A$2:$A$605,0),MATCH("Short Term Investments",'Prior YTD Data Pull'!$A$1:$CB$1,0)),"")</f>
        <v>0</v>
      </c>
      <c r="AO84" s="38">
        <f>IFERROR(INDEX('Prior YTD Data Pull'!$A$2:$CB$605,MATCH('Prior YTD Data Table'!$C84,'Prior YTD Data Pull'!$A$2:$A$605,0),MATCH("Cash and Cash Equivalents",'Prior YTD Data Pull'!$A$1:$CB$1,0)),"")</f>
        <v>0</v>
      </c>
      <c r="AP84" s="38">
        <f>IFERROR(INDEX('Prior YTD Data Pull'!$A$2:$CB$605,MATCH('Prior YTD Data Table'!$C84,'Prior YTD Data Pull'!$A$2:$A$605,0),MATCH("Interest Expense",'Prior YTD Data Pull'!$A$1:$CB$1,0)),"")</f>
        <v>53879</v>
      </c>
      <c r="AQ84" s="38">
        <f>IFERROR(INDEX('Prior YTD Data Pull'!$A$2:$CB$605,MATCH('Prior YTD Data Table'!$C84,'Prior YTD Data Pull'!$A$2:$A$605,0),MATCH("Long Term Debt Net of Current Portion",'Prior YTD Data Pull'!$A$1:$CB$1,0)),"")</f>
        <v>0</v>
      </c>
      <c r="AR84" s="38">
        <f>IFERROR(INDEX('Prior YTD Data Pull'!$A$2:$CB$605,MATCH('Prior YTD Data Table'!$C84,'Prior YTD Data Pull'!$A$2:$A$605,0),MATCH("Total Assets",'Prior YTD Data Pull'!$A$1:$CB$1,0)),"")</f>
        <v>0</v>
      </c>
      <c r="AS84" s="38">
        <f>IFERROR(INDEX('Prior YTD Data Pull'!$A$2:$CB$605,MATCH('Prior YTD Data Table'!$C84,'Prior YTD Data Pull'!$A$2:$A$605,0),MATCH("Long Term Debt Net of Current Portion",'Prior YTD Data Pull'!$A$1:$CB$1,0)),"")</f>
        <v>0</v>
      </c>
      <c r="AT84" s="38">
        <f>IFERROR(INDEX('Prior YTD Data Pull'!$A$2:$CB$605,MATCH('Prior YTD Data Table'!$C84,'Prior YTD Data Pull'!$A$2:$A$605,0),MATCH("Net Unrestricted Assets",'Prior YTD Data Pull'!$A$1:$CB$1,0)),"")</f>
        <v>0</v>
      </c>
      <c r="AU84" s="38">
        <f>IFERROR(INDEX('Prior YTD Data Pull'!$A$2:$CB$605,MATCH('Prior YTD Data Table'!$C84,'Prior YTD Data Pull'!$A$2:$A$605,0),MATCH("Unrealized Gains/Losses",'Prior YTD Data Pull'!$A$1:$CB$1,0)),"")</f>
        <v>0</v>
      </c>
      <c r="AV84" s="38">
        <f>IFERROR(INDEX('Prior YTD Data Pull'!$A$2:$CB$605,MATCH('Prior YTD Data Table'!$C84,'Prior YTD Data Pull'!$A$2:$A$605,0),MATCH("Salary and Benefit Expense",'Prior YTD Data Pull'!$A$1:$CB$1,0)),"")</f>
        <v>10510975</v>
      </c>
      <c r="AW84" s="38"/>
      <c r="AX84" s="38"/>
      <c r="AY84" s="38"/>
      <c r="AZ84" s="38"/>
    </row>
    <row r="85" spans="1:52" ht="34.200000000000003" x14ac:dyDescent="0.3">
      <c r="A85" s="14" t="str">
        <f>IFERROR(INDEX('Static Data Tab'!$N$2:$N$610,MATCH(D85,'Static Data Tab'!$D$2:$D$610,0)), "")</f>
        <v>Tufts Medicine</v>
      </c>
      <c r="B85" s="57" t="s">
        <v>194</v>
      </c>
      <c r="C85" s="57">
        <v>14420</v>
      </c>
      <c r="D85" s="57">
        <v>12775</v>
      </c>
      <c r="E85" s="14" t="str">
        <f>IFERROR(INDEX('Prior YTD Data Pull'!$A$1:$CB$605,MATCH('Prior YTD Data Table'!$C85,'Prior YTD Data Pull'!$A$1:$A$605,0),MATCH("Organization Type",'Prior YTD Data Pull'!$A$1:$CB$1,0)),"")</f>
        <v>PhysicianOrganization</v>
      </c>
      <c r="F85" s="14" t="str">
        <f>IFERROR(INDEX('Static Data Tab'!$E$2:$E$610,MATCH('Prior YTD Data Table'!$C85,'Static Data Tab'!$B$2:$B$610,0)), "-")</f>
        <v>-</v>
      </c>
      <c r="G85" s="46" t="str">
        <f>IFERROR(INDEX('Static Data Tab'!$J$2:$J$610,MATCH('Prior YTD Data Table'!$C85,'Static Data Tab'!$B$2:$B$610,0)), "")</f>
        <v/>
      </c>
      <c r="H85" s="14" t="str">
        <f>IFERROR(INDEX('Static Data Tab'!$F$2:$F$610,MATCH('Prior YTD Data Table'!$C85,'Static Data Tab'!$B$2:$B$610,0)), "")</f>
        <v/>
      </c>
      <c r="I85" s="14" t="str">
        <f>IFERROR(INDEX('Static Data Tab'!$G$2:$G$610,MATCH('Prior YTD Data Table'!$C85,'Static Data Tab'!$B$2:$B$610,0)), "")</f>
        <v/>
      </c>
      <c r="J85" s="14" t="str">
        <f>IFERROR(INDEX('Prior YTD Data Pull'!$A$2:$CB$605,MATCH('Prior YTD Data Table'!$C85,'Prior YTD Data Pull'!$A$2:$A$605,0),MATCH("Quarter Range",'Prior YTD Data Pull'!$A$1:$CB$1,0)),"")</f>
        <v xml:space="preserve">10/01/2024-03/31/2025
</v>
      </c>
      <c r="K85" s="37">
        <f t="shared" si="15"/>
        <v>-0.22855564150734889</v>
      </c>
      <c r="L85" s="37">
        <f t="shared" si="16"/>
        <v>0</v>
      </c>
      <c r="M85" s="37">
        <f t="shared" si="17"/>
        <v>-0.22855564150734889</v>
      </c>
      <c r="N85" s="38">
        <f t="shared" si="18"/>
        <v>-10341000</v>
      </c>
      <c r="O85" s="39" t="str">
        <f t="shared" si="19"/>
        <v/>
      </c>
      <c r="P85" s="38">
        <f>IFERROR(INDEX('Prior YTD Data Pull'!$A$2:$CB$605,MATCH('Prior YTD Data Table'!$C85,'Prior YTD Data Pull'!$A$2:$A$605,0),MATCH("Total Net Assets or Equity",'Prior YTD Data Pull'!$A$1:$CB$1,0)),"")</f>
        <v>0</v>
      </c>
      <c r="Q85" s="38">
        <f>IFERROR(INDEX('Prior YTD Data Pull'!$A$2:$CB$605,MATCH('Prior YTD Data Table'!$C85,'Prior YTD Data Pull'!$A$2:$A$605,0),MATCH("Total Operating Revenue",'Prior YTD Data Pull'!$A$1:$CB$1,0)),"")</f>
        <v>45245000</v>
      </c>
      <c r="R85" s="38">
        <f>IFERROR(INDEX('Prior YTD Data Pull'!$A$2:$CB$605,MATCH('Prior YTD Data Table'!$C85,'Prior YTD Data Pull'!$A$2:$A$605,0),MATCH("Total Unrestricted Revenue Gains and Other Support",'Prior YTD Data Pull'!$A$1:$CB$1,0)),"")</f>
        <v>45245000</v>
      </c>
      <c r="S85" s="38">
        <f>IFERROR(INDEX('Prior YTD TS Data Pull'!$J$2:$J$128,MATCH('Prior YTD Data Table'!$C85, 'Prior YTD TS Data Pull'!$A$2:$A$128,0))+INDEX('Prior YTD TS Data Pull'!$N$2:$N$128,MATCH('Prior YTD Data Table'!$C85,'Prior YTD TS Data Pull'!$A$2:$A$609,0))+INDEX('Prior YTD TS Data Pull'!$R$2:$R$128,MATCH('Prior YTD Data Table'!$C85,'Prior YTD TS Data Pull'!$A$2:$A$609,0)),"")</f>
        <v>22532.2</v>
      </c>
      <c r="T85" s="38">
        <f>IF(INDEX('Prior YTD TS Data Pull'!$A$1:$O$609,MATCH('Prior YTD Data Table'!$C85,'Prior YTD TS Data Pull'!$A$1:$A$609,0),MATCH("Temporary RN Staffing:
Line Reported on in Standardized Financials",'Prior YTD TS Data Pull'!$A$1:$O$1,0))="66.1: Salary and Benefit Expense",'Prior YTD Data Table'!$AV85-'Prior YTD Data Table'!$S85,0)</f>
        <v>0</v>
      </c>
      <c r="U85" s="38">
        <f>IFERROR(INDEX('Prior YTD Data Pull'!$A$2:$CB$605,MATCH('Prior YTD Data Table'!$C85,'Prior YTD Data Pull'!$A$2:$A$605,0),MATCH("Total Expenses Including Nonrecurring Gains Losses",'Prior YTD Data Pull'!$A$1:$CB$1,0)),"")</f>
        <v>55586000</v>
      </c>
      <c r="V85" s="41">
        <f t="shared" si="20"/>
        <v>0.49562295081967211</v>
      </c>
      <c r="W85" s="41" t="str">
        <f t="shared" si="21"/>
        <v/>
      </c>
      <c r="X85" s="41" t="str">
        <f t="shared" si="13"/>
        <v/>
      </c>
      <c r="Y85" s="37" t="str">
        <f t="shared" si="22"/>
        <v/>
      </c>
      <c r="Z85" s="41" t="str">
        <f t="shared" si="14"/>
        <v/>
      </c>
      <c r="AA85" s="39" t="str">
        <f t="shared" si="23"/>
        <v/>
      </c>
      <c r="AB85" s="37" t="str">
        <f t="shared" si="24"/>
        <v/>
      </c>
      <c r="AC85" s="37" t="str">
        <f t="shared" si="25"/>
        <v/>
      </c>
      <c r="AD85" s="38">
        <f>IFERROR(INDEX('Prior YTD Data Pull'!$A$2:$CB$605,MATCH('Prior YTD Data Table'!$C85,'Prior YTD Data Pull'!$A$2:$A$605,0),MATCH("Net Patient Service Revenue",'Prior YTD Data Pull'!$A$1:$CB$1,0)),"")</f>
        <v>37916000</v>
      </c>
      <c r="AE85" s="38">
        <f>IFERROR(INDEX('Prior YTD Data Pull'!$A$2:$CB$605,MATCH('Prior YTD Data Table'!$C85,'Prior YTD Data Pull'!$A$2:$A$605,0),MATCH("Total Current Assets",'Prior YTD Data Pull'!$A$1:$CB$1,0)),"")</f>
        <v>0</v>
      </c>
      <c r="AF85" s="38">
        <f>IFERROR(INDEX('Prior YTD Data Pull'!$A$2:$CB$605,MATCH('Prior YTD Data Table'!$C85,'Prior YTD Data Pull'!$A$2:$A$605,0),MATCH("Total Current Liabilities",'Prior YTD Data Pull'!$A$1:$CB$1,0)),"")</f>
        <v>0</v>
      </c>
      <c r="AG85" s="38">
        <f>IFERROR(INDEX('Prior YTD Data Pull'!$A$2:$CB$605,MATCH('Prior YTD Data Table'!$C85,'Prior YTD Data Pull'!$A$2:$A$605,0),MATCH("Total Non Operating Revenue",'Prior YTD Data Pull'!$A$1:$CB$1,0)),"")</f>
        <v>0</v>
      </c>
      <c r="AH85" s="38">
        <f>IFERROR(INDEX('Prior YTD Data Pull'!$A$2:$CB$605,MATCH('Prior YTD Data Table'!$C85,'Prior Year Data Pull'!$A$2:$A$593,0),MATCH("Less Accumulated Depreciation",'Prior YTD Data Pull'!$A$1:$CB$1,0)),"")</f>
        <v>90699</v>
      </c>
      <c r="AI85" s="38">
        <f>IFERROR(INDEX('Prior YTD Data Pull'!$A$2:$CB$605,MATCH('Prior YTD Data Table'!$C85,'Prior YTD Data Pull'!$A$2:$A$605,0),MATCH("Depreciation and Amortization Expense",'Prior YTD Data Pull'!$A$1:$CB$1,0)),"")</f>
        <v>183000</v>
      </c>
      <c r="AJ85" s="38">
        <f>IFERROR(INDEX('Prior YTD Data Pull'!$A$2:$CB$605,MATCH('Prior YTD Data Table'!$C85,'Prior YTD Data Pull'!$A$2:$A$605,0),MATCH("Net Patient Accounts Receivable",'Prior YTD Data Pull'!$A$1:$CB$1,0)),"")</f>
        <v>0</v>
      </c>
      <c r="AK85" s="14" t="e">
        <f>IF('Prior YTD Data Pull'!#REF! = 6, "183", IF('Prior YTD Data Pull'!#REF! = 3, "93",""))</f>
        <v>#REF!</v>
      </c>
      <c r="AL85" s="38">
        <f>IFERROR(INDEX('Prior YTD Data Pull'!$A$2:$CB$605,MATCH('Prior YTD Data Table'!$C85,'Prior YTD Data Pull'!$A$2:$A$605,0),MATCH("Estimated Third Party Settlements",'Prior YTD Data Pull'!$A$1:$CB$1,0)),"")</f>
        <v>0</v>
      </c>
      <c r="AM85" s="38">
        <f>IFERROR(INDEX('Prior YTD Data Pull'!$A$2:$CB$605,MATCH('Prior YTD Data Table'!$C85,'Prior YTD Data Pull'!$A$2:$A$605,0),MATCH("Current Liabilities due to Affiliates",'Prior YTD Data Pull'!$A$1:$CB$1,0)),"")</f>
        <v>0</v>
      </c>
      <c r="AN85" s="38">
        <f>IFERROR(INDEX('Prior YTD Data Pull'!$A$2:$CB$605,MATCH('Prior YTD Data Table'!$C85,'Prior YTD Data Pull'!$A$2:$A$605,0),MATCH("Short Term Investments",'Prior YTD Data Pull'!$A$1:$CB$1,0)),"")</f>
        <v>0</v>
      </c>
      <c r="AO85" s="38">
        <f>IFERROR(INDEX('Prior YTD Data Pull'!$A$2:$CB$605,MATCH('Prior YTD Data Table'!$C85,'Prior YTD Data Pull'!$A$2:$A$605,0),MATCH("Cash and Cash Equivalents",'Prior YTD Data Pull'!$A$1:$CB$1,0)),"")</f>
        <v>0</v>
      </c>
      <c r="AP85" s="38">
        <f>IFERROR(INDEX('Prior YTD Data Pull'!$A$2:$CB$605,MATCH('Prior YTD Data Table'!$C85,'Prior YTD Data Pull'!$A$2:$A$605,0),MATCH("Interest Expense",'Prior YTD Data Pull'!$A$1:$CB$1,0)),"")</f>
        <v>0</v>
      </c>
      <c r="AQ85" s="38">
        <f>IFERROR(INDEX('Prior YTD Data Pull'!$A$2:$CB$605,MATCH('Prior YTD Data Table'!$C85,'Prior YTD Data Pull'!$A$2:$A$605,0),MATCH("Long Term Debt Net of Current Portion",'Prior YTD Data Pull'!$A$1:$CB$1,0)),"")</f>
        <v>0</v>
      </c>
      <c r="AR85" s="38">
        <f>IFERROR(INDEX('Prior YTD Data Pull'!$A$2:$CB$605,MATCH('Prior YTD Data Table'!$C85,'Prior YTD Data Pull'!$A$2:$A$605,0),MATCH("Total Assets",'Prior YTD Data Pull'!$A$1:$CB$1,0)),"")</f>
        <v>0</v>
      </c>
      <c r="AS85" s="38">
        <f>IFERROR(INDEX('Prior YTD Data Pull'!$A$2:$CB$605,MATCH('Prior YTD Data Table'!$C85,'Prior YTD Data Pull'!$A$2:$A$605,0),MATCH("Long Term Debt Net of Current Portion",'Prior YTD Data Pull'!$A$1:$CB$1,0)),"")</f>
        <v>0</v>
      </c>
      <c r="AT85" s="38">
        <f>IFERROR(INDEX('Prior YTD Data Pull'!$A$2:$CB$605,MATCH('Prior YTD Data Table'!$C85,'Prior YTD Data Pull'!$A$2:$A$605,0),MATCH("Net Unrestricted Assets",'Prior YTD Data Pull'!$A$1:$CB$1,0)),"")</f>
        <v>0</v>
      </c>
      <c r="AU85" s="38">
        <f>IFERROR(INDEX('Prior YTD Data Pull'!$A$2:$CB$605,MATCH('Prior YTD Data Table'!$C85,'Prior YTD Data Pull'!$A$2:$A$605,0),MATCH("Unrealized Gains/Losses",'Prior YTD Data Pull'!$A$1:$CB$1,0)),"")</f>
        <v>0</v>
      </c>
      <c r="AV85" s="38">
        <f>IFERROR(INDEX('Prior YTD Data Pull'!$A$2:$CB$605,MATCH('Prior YTD Data Table'!$C85,'Prior YTD Data Pull'!$A$2:$A$605,0),MATCH("Salary and Benefit Expense",'Prior YTD Data Pull'!$A$1:$CB$1,0)),"")</f>
        <v>39046000</v>
      </c>
      <c r="AW85" s="47"/>
      <c r="AX85" s="47"/>
      <c r="AY85" s="47"/>
      <c r="AZ85" s="47"/>
    </row>
    <row r="86" spans="1:52" ht="34.200000000000003" x14ac:dyDescent="0.3">
      <c r="A86" s="14" t="str">
        <f>IFERROR(INDEX('Static Data Tab'!$N$2:$N$610,MATCH(D86,'Static Data Tab'!$D$2:$D$610,0)), "")</f>
        <v>Beth Israel Lahey Health</v>
      </c>
      <c r="B86" s="14" t="s">
        <v>102</v>
      </c>
      <c r="C86" s="14">
        <v>11801</v>
      </c>
      <c r="D86" s="14">
        <v>16665</v>
      </c>
      <c r="E86" s="14" t="str">
        <f>IFERROR(INDEX('Prior YTD Data Pull'!$A$1:$CB$605,MATCH('Prior YTD Data Table'!$C86,'Prior YTD Data Pull'!$A$1:$A$605,0),MATCH("Organization Type",'Prior YTD Data Pull'!$A$1:$CB$1,0)),"")</f>
        <v>PhysicianOrganization</v>
      </c>
      <c r="F86" s="14" t="str">
        <f>IFERROR(INDEX('Static Data Tab'!$E$2:$E$610,MATCH('Prior YTD Data Table'!$C86,'Static Data Tab'!$B$2:$B$610,0)), "-")</f>
        <v>-</v>
      </c>
      <c r="G86" s="46" t="str">
        <f>IFERROR(INDEX('Static Data Tab'!$J$2:$J$610,MATCH('Prior YTD Data Table'!$C86,'Static Data Tab'!$B$2:$B$610,0)), "")</f>
        <v/>
      </c>
      <c r="H86" s="14" t="str">
        <f>IFERROR(INDEX('Static Data Tab'!$F$2:$F$610,MATCH('Prior YTD Data Table'!$C86,'Static Data Tab'!$B$2:$B$610,0)), "")</f>
        <v/>
      </c>
      <c r="I86" s="14" t="str">
        <f>IFERROR(INDEX('Static Data Tab'!$G$2:$G$610,MATCH('Prior YTD Data Table'!$C86,'Static Data Tab'!$B$2:$B$610,0)), "")</f>
        <v/>
      </c>
      <c r="J86" s="14" t="str">
        <f>IFERROR(INDEX('Prior YTD Data Pull'!$A$2:$CB$605,MATCH('Prior YTD Data Table'!$C86,'Prior YTD Data Pull'!$A$2:$A$605,0),MATCH("Quarter Range",'Prior YTD Data Pull'!$A$1:$CB$1,0)),"")</f>
        <v xml:space="preserve">10/01/2024-03/31/2025
</v>
      </c>
      <c r="K86" s="37">
        <f t="shared" si="15"/>
        <v>-0.44179902651466635</v>
      </c>
      <c r="L86" s="37">
        <f t="shared" si="16"/>
        <v>0</v>
      </c>
      <c r="M86" s="37">
        <f t="shared" si="17"/>
        <v>-0.44179902651466635</v>
      </c>
      <c r="N86" s="38">
        <f t="shared" si="18"/>
        <v>-27593000</v>
      </c>
      <c r="O86" s="39" t="str">
        <f t="shared" si="19"/>
        <v/>
      </c>
      <c r="P86" s="38">
        <f>IFERROR(INDEX('Prior YTD Data Pull'!$A$2:$CB$605,MATCH('Prior YTD Data Table'!$C86,'Prior YTD Data Pull'!$A$2:$A$605,0),MATCH("Total Net Assets or Equity",'Prior YTD Data Pull'!$A$1:$CB$1,0)),"")</f>
        <v>0</v>
      </c>
      <c r="Q86" s="38">
        <f>IFERROR(INDEX('Prior YTD Data Pull'!$A$2:$CB$605,MATCH('Prior YTD Data Table'!$C86,'Prior YTD Data Pull'!$A$2:$A$605,0),MATCH("Total Operating Revenue",'Prior YTD Data Pull'!$A$1:$CB$1,0)),"")</f>
        <v>62456000</v>
      </c>
      <c r="R86" s="38">
        <f>IFERROR(INDEX('Prior YTD Data Pull'!$A$2:$CB$605,MATCH('Prior YTD Data Table'!$C86,'Prior YTD Data Pull'!$A$2:$A$605,0),MATCH("Total Unrestricted Revenue Gains and Other Support",'Prior YTD Data Pull'!$A$1:$CB$1,0)),"")</f>
        <v>62456000</v>
      </c>
      <c r="S86" s="38">
        <f>IFERROR(INDEX('Prior YTD TS Data Pull'!$J$2:$J$128,MATCH('Prior YTD Data Table'!$C86, 'Prior YTD TS Data Pull'!$A$2:$A$128,0))+INDEX('Prior YTD TS Data Pull'!$N$2:$N$128,MATCH('Prior YTD Data Table'!$C86,'Prior YTD TS Data Pull'!$A$2:$A$609,0))+INDEX('Prior YTD TS Data Pull'!$R$2:$R$128,MATCH('Prior YTD Data Table'!$C86,'Prior YTD TS Data Pull'!$A$2:$A$609,0)),"")</f>
        <v>137038.91999999998</v>
      </c>
      <c r="T86" s="38">
        <f>IF(INDEX('Prior YTD TS Data Pull'!$A$1:$O$609,MATCH('Prior YTD Data Table'!$C86,'Prior YTD TS Data Pull'!$A$1:$A$609,0),MATCH("Temporary RN Staffing:
Line Reported on in Standardized Financials",'Prior YTD TS Data Pull'!$A$1:$O$1,0))="66.1: Salary and Benefit Expense",'Prior YTD Data Table'!$AV86-'Prior YTD Data Table'!$S86,0)</f>
        <v>69198961.079999998</v>
      </c>
      <c r="U86" s="38">
        <f>IFERROR(INDEX('Prior YTD Data Pull'!$A$2:$CB$605,MATCH('Prior YTD Data Table'!$C86,'Prior YTD Data Pull'!$A$2:$A$605,0),MATCH("Total Expenses Including Nonrecurring Gains Losses",'Prior YTD Data Pull'!$A$1:$CB$1,0)),"")</f>
        <v>90049000</v>
      </c>
      <c r="V86" s="41">
        <f t="shared" si="20"/>
        <v>0</v>
      </c>
      <c r="W86" s="41">
        <f t="shared" si="21"/>
        <v>0</v>
      </c>
      <c r="X86" s="41">
        <f t="shared" si="13"/>
        <v>0</v>
      </c>
      <c r="Y86" s="37" t="str">
        <f t="shared" si="22"/>
        <v/>
      </c>
      <c r="Z86" s="41">
        <f t="shared" si="14"/>
        <v>0</v>
      </c>
      <c r="AA86" s="39" t="str">
        <f t="shared" si="23"/>
        <v/>
      </c>
      <c r="AB86" s="37" t="str">
        <f t="shared" si="24"/>
        <v/>
      </c>
      <c r="AC86" s="37" t="str">
        <f t="shared" si="25"/>
        <v/>
      </c>
      <c r="AD86" s="38">
        <f>IFERROR(INDEX('Prior YTD Data Pull'!$A$2:$CB$605,MATCH('Prior YTD Data Table'!$C86,'Prior YTD Data Pull'!$A$2:$A$605,0),MATCH("Net Patient Service Revenue",'Prior YTD Data Pull'!$A$1:$CB$1,0)),"")</f>
        <v>56925000</v>
      </c>
      <c r="AE86" s="38">
        <f>IFERROR(INDEX('Prior YTD Data Pull'!$A$2:$CB$605,MATCH('Prior YTD Data Table'!$C86,'Prior YTD Data Pull'!$A$2:$A$605,0),MATCH("Total Current Assets",'Prior YTD Data Pull'!$A$1:$CB$1,0)),"")</f>
        <v>0</v>
      </c>
      <c r="AF86" s="38">
        <f>IFERROR(INDEX('Prior YTD Data Pull'!$A$2:$CB$605,MATCH('Prior YTD Data Table'!$C86,'Prior YTD Data Pull'!$A$2:$A$605,0),MATCH("Total Current Liabilities",'Prior YTD Data Pull'!$A$1:$CB$1,0)),"")</f>
        <v>0</v>
      </c>
      <c r="AG86" s="38">
        <f>IFERROR(INDEX('Prior YTD Data Pull'!$A$2:$CB$605,MATCH('Prior YTD Data Table'!$C86,'Prior YTD Data Pull'!$A$2:$A$605,0),MATCH("Total Non Operating Revenue",'Prior YTD Data Pull'!$A$1:$CB$1,0)),"")</f>
        <v>0</v>
      </c>
      <c r="AH86" s="38">
        <f>IFERROR(INDEX('Prior YTD Data Pull'!$A$2:$CB$605,MATCH('Prior YTD Data Table'!$C86,'Prior Year Data Pull'!$A$2:$A$593,0),MATCH("Less Accumulated Depreciation",'Prior YTD Data Pull'!$A$1:$CB$1,0)),"")</f>
        <v>0</v>
      </c>
      <c r="AI86" s="38">
        <f>IFERROR(INDEX('Prior YTD Data Pull'!$A$2:$CB$605,MATCH('Prior YTD Data Table'!$C86,'Prior YTD Data Pull'!$A$2:$A$605,0),MATCH("Depreciation and Amortization Expense",'Prior YTD Data Pull'!$A$1:$CB$1,0)),"")</f>
        <v>1525000</v>
      </c>
      <c r="AJ86" s="38">
        <f>IFERROR(INDEX('Prior YTD Data Pull'!$A$2:$CB$605,MATCH('Prior YTD Data Table'!$C86,'Prior YTD Data Pull'!$A$2:$A$605,0),MATCH("Net Patient Accounts Receivable",'Prior YTD Data Pull'!$A$1:$CB$1,0)),"")</f>
        <v>0</v>
      </c>
      <c r="AK86" s="14" t="str">
        <f>IF('Prior YTD Data Pull'!$H85 = 6, "183", IF('Prior YTD Data Pull'!$H85 = 3, "93",""))</f>
        <v>183</v>
      </c>
      <c r="AL86" s="38">
        <f>IFERROR(INDEX('Prior YTD Data Pull'!$A$2:$CB$605,MATCH('Prior YTD Data Table'!$C86,'Prior YTD Data Pull'!$A$2:$A$605,0),MATCH("Estimated Third Party Settlements",'Prior YTD Data Pull'!$A$1:$CB$1,0)),"")</f>
        <v>0</v>
      </c>
      <c r="AM86" s="38">
        <f>IFERROR(INDEX('Prior YTD Data Pull'!$A$2:$CB$605,MATCH('Prior YTD Data Table'!$C86,'Prior YTD Data Pull'!$A$2:$A$605,0),MATCH("Current Liabilities due to Affiliates",'Prior YTD Data Pull'!$A$1:$CB$1,0)),"")</f>
        <v>0</v>
      </c>
      <c r="AN86" s="38">
        <f>IFERROR(INDEX('Prior YTD Data Pull'!$A$2:$CB$605,MATCH('Prior YTD Data Table'!$C86,'Prior YTD Data Pull'!$A$2:$A$605,0),MATCH("Short Term Investments",'Prior YTD Data Pull'!$A$1:$CB$1,0)),"")</f>
        <v>0</v>
      </c>
      <c r="AO86" s="38">
        <f>IFERROR(INDEX('Prior YTD Data Pull'!$A$2:$CB$605,MATCH('Prior YTD Data Table'!$C86,'Prior YTD Data Pull'!$A$2:$A$605,0),MATCH("Cash and Cash Equivalents",'Prior YTD Data Pull'!$A$1:$CB$1,0)),"")</f>
        <v>0</v>
      </c>
      <c r="AP86" s="38">
        <f>IFERROR(INDEX('Prior YTD Data Pull'!$A$2:$CB$605,MATCH('Prior YTD Data Table'!$C86,'Prior YTD Data Pull'!$A$2:$A$605,0),MATCH("Interest Expense",'Prior YTD Data Pull'!$A$1:$CB$1,0)),"")</f>
        <v>0</v>
      </c>
      <c r="AQ86" s="38">
        <f>IFERROR(INDEX('Prior YTD Data Pull'!$A$2:$CB$605,MATCH('Prior YTD Data Table'!$C86,'Prior YTD Data Pull'!$A$2:$A$605,0),MATCH("Long Term Debt Net of Current Portion",'Prior YTD Data Pull'!$A$1:$CB$1,0)),"")</f>
        <v>0</v>
      </c>
      <c r="AR86" s="38">
        <f>IFERROR(INDEX('Prior YTD Data Pull'!$A$2:$CB$605,MATCH('Prior YTD Data Table'!$C86,'Prior YTD Data Pull'!$A$2:$A$605,0),MATCH("Total Assets",'Prior YTD Data Pull'!$A$1:$CB$1,0)),"")</f>
        <v>0</v>
      </c>
      <c r="AS86" s="38">
        <f>IFERROR(INDEX('Prior YTD Data Pull'!$A$2:$CB$605,MATCH('Prior YTD Data Table'!$C86,'Prior YTD Data Pull'!$A$2:$A$605,0),MATCH("Long Term Debt Net of Current Portion",'Prior YTD Data Pull'!$A$1:$CB$1,0)),"")</f>
        <v>0</v>
      </c>
      <c r="AT86" s="38">
        <f>IFERROR(INDEX('Prior YTD Data Pull'!$A$2:$CB$605,MATCH('Prior YTD Data Table'!$C86,'Prior YTD Data Pull'!$A$2:$A$605,0),MATCH("Net Unrestricted Assets",'Prior YTD Data Pull'!$A$1:$CB$1,0)),"")</f>
        <v>0</v>
      </c>
      <c r="AU86" s="38">
        <f>IFERROR(INDEX('Prior YTD Data Pull'!$A$2:$CB$605,MATCH('Prior YTD Data Table'!$C86,'Prior YTD Data Pull'!$A$2:$A$605,0),MATCH("Unrealized Gains/Losses",'Prior YTD Data Pull'!$A$1:$CB$1,0)),"")</f>
        <v>0</v>
      </c>
      <c r="AV86" s="38">
        <f>IFERROR(INDEX('Prior YTD Data Pull'!$A$2:$CB$605,MATCH('Prior YTD Data Table'!$C86,'Prior YTD Data Pull'!$A$2:$A$605,0),MATCH("Salary and Benefit Expense",'Prior YTD Data Pull'!$A$1:$CB$1,0)),"")</f>
        <v>69336000</v>
      </c>
      <c r="AW86" s="38"/>
      <c r="AX86" s="38"/>
      <c r="AY86" s="38"/>
      <c r="AZ86" s="38"/>
    </row>
    <row r="87" spans="1:52" ht="34.200000000000003" x14ac:dyDescent="0.3">
      <c r="A87" s="14" t="str">
        <f>IFERROR(INDEX('Static Data Tab'!$N$2:$N$610,MATCH(D87,'Static Data Tab'!$D$2:$D$610,0)), "")</f>
        <v>Mass General Brigham</v>
      </c>
      <c r="B87" s="57" t="s">
        <v>154</v>
      </c>
      <c r="C87" s="57">
        <v>11002</v>
      </c>
      <c r="D87" s="57">
        <v>3791</v>
      </c>
      <c r="E87" s="14" t="str">
        <f>IFERROR(INDEX('Prior YTD Data Pull'!$A$1:$CB$605,MATCH('Prior YTD Data Table'!$C87,'Prior YTD Data Pull'!$A$1:$A$605,0),MATCH("Organization Type",'Prior YTD Data Pull'!$A$1:$CB$1,0)),"")</f>
        <v>PhysicianOrganization</v>
      </c>
      <c r="F87" s="14" t="str">
        <f>IFERROR(INDEX('Static Data Tab'!$E$2:$E$610,MATCH('Prior YTD Data Table'!$C87,'Static Data Tab'!$B$2:$B$610,0)), "-")</f>
        <v>-</v>
      </c>
      <c r="G87" s="46" t="str">
        <f>IFERROR(INDEX('Static Data Tab'!$J$2:$J$610,MATCH('Prior YTD Data Table'!$C87,'Static Data Tab'!$B$2:$B$610,0)), "")</f>
        <v/>
      </c>
      <c r="H87" s="14" t="str">
        <f>IFERROR(INDEX('Static Data Tab'!$F$2:$F$610,MATCH('Prior YTD Data Table'!$C87,'Static Data Tab'!$B$2:$B$610,0)), "")</f>
        <v/>
      </c>
      <c r="I87" s="14" t="str">
        <f>IFERROR(INDEX('Static Data Tab'!$G$2:$G$610,MATCH('Prior YTD Data Table'!$C87,'Static Data Tab'!$B$2:$B$610,0)), "")</f>
        <v/>
      </c>
      <c r="J87" s="14" t="str">
        <f>IFERROR(INDEX('Prior YTD Data Pull'!$A$2:$CB$605,MATCH('Prior YTD Data Table'!$C87,'Prior YTD Data Pull'!$A$2:$A$605,0),MATCH("Quarter Range",'Prior YTD Data Pull'!$A$1:$CB$1,0)),"")</f>
        <v xml:space="preserve">10/01/2024-03/31/2025
</v>
      </c>
      <c r="K87" s="37">
        <f t="shared" si="15"/>
        <v>-7.1510608928991651E-3</v>
      </c>
      <c r="L87" s="37">
        <f t="shared" si="16"/>
        <v>2.1951930540579461E-2</v>
      </c>
      <c r="M87" s="37">
        <f t="shared" si="17"/>
        <v>1.4800869647680296E-2</v>
      </c>
      <c r="N87" s="38">
        <f t="shared" si="18"/>
        <v>12642000</v>
      </c>
      <c r="O87" s="39" t="str">
        <f t="shared" si="19"/>
        <v/>
      </c>
      <c r="P87" s="38">
        <f>IFERROR(INDEX('Prior YTD Data Pull'!$A$2:$CB$605,MATCH('Prior YTD Data Table'!$C87,'Prior YTD Data Pull'!$A$2:$A$605,0),MATCH("Total Net Assets or Equity",'Prior YTD Data Pull'!$A$1:$CB$1,0)),"")</f>
        <v>0</v>
      </c>
      <c r="Q87" s="38">
        <f>IFERROR(INDEX('Prior YTD Data Pull'!$A$2:$CB$605,MATCH('Prior YTD Data Table'!$C87,'Prior YTD Data Pull'!$A$2:$A$605,0),MATCH("Total Operating Revenue",'Prior YTD Data Pull'!$A$1:$CB$1,0)),"")</f>
        <v>835389000</v>
      </c>
      <c r="R87" s="38">
        <f>IFERROR(INDEX('Prior YTD Data Pull'!$A$2:$CB$605,MATCH('Prior YTD Data Table'!$C87,'Prior YTD Data Pull'!$A$2:$A$605,0),MATCH("Total Unrestricted Revenue Gains and Other Support",'Prior YTD Data Pull'!$A$1:$CB$1,0)),"")</f>
        <v>854139000</v>
      </c>
      <c r="S87" s="38">
        <f>IFERROR(INDEX('Prior YTD TS Data Pull'!$J$2:$J$128,MATCH('Prior YTD Data Table'!$C87, 'Prior YTD TS Data Pull'!$A$2:$A$128,0))+INDEX('Prior YTD TS Data Pull'!$N$2:$N$128,MATCH('Prior YTD Data Table'!$C87,'Prior YTD TS Data Pull'!$A$2:$A$609,0))+INDEX('Prior YTD TS Data Pull'!$R$2:$R$128,MATCH('Prior YTD Data Table'!$C87,'Prior YTD TS Data Pull'!$A$2:$A$609,0)),"")</f>
        <v>1435828.22</v>
      </c>
      <c r="T87" s="38">
        <f>IF(INDEX('Prior YTD TS Data Pull'!$A$1:$O$609,MATCH('Prior YTD Data Table'!$C87,'Prior YTD TS Data Pull'!$A$1:$A$609,0),MATCH("Temporary RN Staffing:
Line Reported on in Standardized Financials",'Prior YTD TS Data Pull'!$A$1:$O$1,0))="66.1: Salary and Benefit Expense",'Prior YTD Data Table'!$AV87-'Prior YTD Data Table'!$S87,0)</f>
        <v>0</v>
      </c>
      <c r="U87" s="38">
        <f>IFERROR(INDEX('Prior YTD Data Pull'!$A$2:$CB$605,MATCH('Prior YTD Data Table'!$C87,'Prior YTD Data Pull'!$A$2:$A$605,0),MATCH("Total Expenses Including Nonrecurring Gains Losses",'Prior YTD Data Pull'!$A$1:$CB$1,0)),"")</f>
        <v>841497000</v>
      </c>
      <c r="V87" s="41">
        <f t="shared" si="20"/>
        <v>0</v>
      </c>
      <c r="W87" s="41">
        <f t="shared" si="21"/>
        <v>0</v>
      </c>
      <c r="X87" s="41">
        <f t="shared" si="13"/>
        <v>0</v>
      </c>
      <c r="Y87" s="37" t="str">
        <f t="shared" si="22"/>
        <v/>
      </c>
      <c r="Z87" s="41">
        <f t="shared" si="14"/>
        <v>0</v>
      </c>
      <c r="AA87" s="39">
        <f t="shared" si="23"/>
        <v>30.182312925170066</v>
      </c>
      <c r="AB87" s="37" t="str">
        <f t="shared" si="24"/>
        <v/>
      </c>
      <c r="AC87" s="37" t="str">
        <f t="shared" si="25"/>
        <v/>
      </c>
      <c r="AD87" s="38">
        <f>IFERROR(INDEX('Prior YTD Data Pull'!$A$2:$CB$605,MATCH('Prior YTD Data Table'!$C87,'Prior YTD Data Pull'!$A$2:$A$605,0),MATCH("Net Patient Service Revenue",'Prior YTD Data Pull'!$A$1:$CB$1,0)),"")</f>
        <v>552336000</v>
      </c>
      <c r="AE87" s="38">
        <f>IFERROR(INDEX('Prior YTD Data Pull'!$A$2:$CB$605,MATCH('Prior YTD Data Table'!$C87,'Prior YTD Data Pull'!$A$2:$A$605,0),MATCH("Total Current Assets",'Prior YTD Data Pull'!$A$1:$CB$1,0)),"")</f>
        <v>0</v>
      </c>
      <c r="AF87" s="38">
        <f>IFERROR(INDEX('Prior YTD Data Pull'!$A$2:$CB$605,MATCH('Prior YTD Data Table'!$C87,'Prior YTD Data Pull'!$A$2:$A$605,0),MATCH("Total Current Liabilities",'Prior YTD Data Pull'!$A$1:$CB$1,0)),"")</f>
        <v>0</v>
      </c>
      <c r="AG87" s="38">
        <f>IFERROR(INDEX('Prior YTD Data Pull'!$A$2:$CB$605,MATCH('Prior YTD Data Table'!$C87,'Prior YTD Data Pull'!$A$2:$A$605,0),MATCH("Total Non Operating Revenue",'Prior YTD Data Pull'!$A$1:$CB$1,0)),"")</f>
        <v>18750000</v>
      </c>
      <c r="AH87" s="38">
        <f>IFERROR(INDEX('Prior YTD Data Pull'!$A$2:$CB$605,MATCH('Prior YTD Data Table'!$C87,'Prior Year Data Pull'!$A$2:$A$593,0),MATCH("Less Accumulated Depreciation",'Prior YTD Data Pull'!$A$1:$CB$1,0)),"")</f>
        <v>0</v>
      </c>
      <c r="AI87" s="38">
        <f>IFERROR(INDEX('Prior YTD Data Pull'!$A$2:$CB$605,MATCH('Prior YTD Data Table'!$C87,'Prior YTD Data Pull'!$A$2:$A$605,0),MATCH("Depreciation and Amortization Expense",'Prior YTD Data Pull'!$A$1:$CB$1,0)),"")</f>
        <v>9957000</v>
      </c>
      <c r="AJ87" s="38">
        <f>IFERROR(INDEX('Prior YTD Data Pull'!$A$2:$CB$605,MATCH('Prior YTD Data Table'!$C87,'Prior YTD Data Pull'!$A$2:$A$605,0),MATCH("Net Patient Accounts Receivable",'Prior YTD Data Pull'!$A$1:$CB$1,0)),"")</f>
        <v>0</v>
      </c>
      <c r="AK87" s="14" t="str">
        <f>IF('Prior YTD Data Pull'!$H86 = 6, "183", IF('Prior YTD Data Pull'!$H86 = 3, "93",""))</f>
        <v>183</v>
      </c>
      <c r="AL87" s="38">
        <f>IFERROR(INDEX('Prior YTD Data Pull'!$A$2:$CB$605,MATCH('Prior YTD Data Table'!$C87,'Prior YTD Data Pull'!$A$2:$A$605,0),MATCH("Estimated Third Party Settlements",'Prior YTD Data Pull'!$A$1:$CB$1,0)),"")</f>
        <v>0</v>
      </c>
      <c r="AM87" s="38">
        <f>IFERROR(INDEX('Prior YTD Data Pull'!$A$2:$CB$605,MATCH('Prior YTD Data Table'!$C87,'Prior YTD Data Pull'!$A$2:$A$605,0),MATCH("Current Liabilities due to Affiliates",'Prior YTD Data Pull'!$A$1:$CB$1,0)),"")</f>
        <v>0</v>
      </c>
      <c r="AN87" s="38">
        <f>IFERROR(INDEX('Prior YTD Data Pull'!$A$2:$CB$605,MATCH('Prior YTD Data Table'!$C87,'Prior YTD Data Pull'!$A$2:$A$605,0),MATCH("Short Term Investments",'Prior YTD Data Pull'!$A$1:$CB$1,0)),"")</f>
        <v>0</v>
      </c>
      <c r="AO87" s="38">
        <f>IFERROR(INDEX('Prior YTD Data Pull'!$A$2:$CB$605,MATCH('Prior YTD Data Table'!$C87,'Prior YTD Data Pull'!$A$2:$A$605,0),MATCH("Cash and Cash Equivalents",'Prior YTD Data Pull'!$A$1:$CB$1,0)),"")</f>
        <v>0</v>
      </c>
      <c r="AP87" s="38">
        <f>IFERROR(INDEX('Prior YTD Data Pull'!$A$2:$CB$605,MATCH('Prior YTD Data Table'!$C87,'Prior YTD Data Pull'!$A$2:$A$605,0),MATCH("Interest Expense",'Prior YTD Data Pull'!$A$1:$CB$1,0)),"")</f>
        <v>735000</v>
      </c>
      <c r="AQ87" s="38">
        <f>IFERROR(INDEX('Prior YTD Data Pull'!$A$2:$CB$605,MATCH('Prior YTD Data Table'!$C87,'Prior YTD Data Pull'!$A$2:$A$605,0),MATCH("Long Term Debt Net of Current Portion",'Prior YTD Data Pull'!$A$1:$CB$1,0)),"")</f>
        <v>0</v>
      </c>
      <c r="AR87" s="38">
        <f>IFERROR(INDEX('Prior YTD Data Pull'!$A$2:$CB$605,MATCH('Prior YTD Data Table'!$C87,'Prior YTD Data Pull'!$A$2:$A$605,0),MATCH("Total Assets",'Prior YTD Data Pull'!$A$1:$CB$1,0)),"")</f>
        <v>0</v>
      </c>
      <c r="AS87" s="38">
        <f>IFERROR(INDEX('Prior YTD Data Pull'!$A$2:$CB$605,MATCH('Prior YTD Data Table'!$C87,'Prior YTD Data Pull'!$A$2:$A$605,0),MATCH("Long Term Debt Net of Current Portion",'Prior YTD Data Pull'!$A$1:$CB$1,0)),"")</f>
        <v>0</v>
      </c>
      <c r="AT87" s="38">
        <f>IFERROR(INDEX('Prior YTD Data Pull'!$A$2:$CB$605,MATCH('Prior YTD Data Table'!$C87,'Prior YTD Data Pull'!$A$2:$A$605,0),MATCH("Net Unrestricted Assets",'Prior YTD Data Pull'!$A$1:$CB$1,0)),"")</f>
        <v>0</v>
      </c>
      <c r="AU87" s="38">
        <f>IFERROR(INDEX('Prior YTD Data Pull'!$A$2:$CB$605,MATCH('Prior YTD Data Table'!$C87,'Prior YTD Data Pull'!$A$2:$A$605,0),MATCH("Unrealized Gains/Losses",'Prior YTD Data Pull'!$A$1:$CB$1,0)),"")</f>
        <v>1150000</v>
      </c>
      <c r="AV87" s="38">
        <f>IFERROR(INDEX('Prior YTD Data Pull'!$A$2:$CB$605,MATCH('Prior YTD Data Table'!$C87,'Prior YTD Data Pull'!$A$2:$A$605,0),MATCH("Salary and Benefit Expense",'Prior YTD Data Pull'!$A$1:$CB$1,0)),"")</f>
        <v>698515000</v>
      </c>
      <c r="AW87" s="47"/>
      <c r="AX87" s="47"/>
      <c r="AY87" s="47"/>
      <c r="AZ87" s="47"/>
    </row>
    <row r="88" spans="1:52" ht="34.200000000000003" x14ac:dyDescent="0.3">
      <c r="A88" s="14" t="str">
        <f>IFERROR(INDEX('Static Data Tab'!$N$2:$N$610,MATCH(D88,'Static Data Tab'!$D$2:$D$610,0)), "")</f>
        <v>Tufts Medicine</v>
      </c>
      <c r="B88" s="57" t="s">
        <v>195</v>
      </c>
      <c r="C88" s="57">
        <v>7895</v>
      </c>
      <c r="D88" s="57">
        <v>12775</v>
      </c>
      <c r="E88" s="14" t="str">
        <f>IFERROR(INDEX('Prior YTD Data Pull'!$A$1:$CB$605,MATCH('Prior YTD Data Table'!$C88,'Prior YTD Data Pull'!$A$1:$A$605,0),MATCH("Organization Type",'Prior YTD Data Pull'!$A$1:$CB$1,0)),"")</f>
        <v>PhysicianOrganization</v>
      </c>
      <c r="F88" s="14" t="str">
        <f>IFERROR(INDEX('Static Data Tab'!$E$2:$E$610,MATCH('Prior YTD Data Table'!$C88,'Static Data Tab'!$B$2:$B$610,0)), "-")</f>
        <v>-</v>
      </c>
      <c r="G88" s="46" t="str">
        <f>IFERROR(INDEX('Static Data Tab'!$J$2:$J$610,MATCH('Prior YTD Data Table'!$C88,'Static Data Tab'!$B$2:$B$610,0)), "")</f>
        <v/>
      </c>
      <c r="H88" s="14" t="str">
        <f>IFERROR(INDEX('Static Data Tab'!$F$2:$F$610,MATCH('Prior YTD Data Table'!$C88,'Static Data Tab'!$B$2:$B$610,0)), "")</f>
        <v/>
      </c>
      <c r="I88" s="14" t="str">
        <f>IFERROR(INDEX('Static Data Tab'!$G$2:$G$610,MATCH('Prior YTD Data Table'!$C88,'Static Data Tab'!$B$2:$B$610,0)), "")</f>
        <v/>
      </c>
      <c r="J88" s="14" t="str">
        <f>IFERROR(INDEX('Prior YTD Data Pull'!$A$2:$CB$605,MATCH('Prior YTD Data Table'!$C88,'Prior YTD Data Pull'!$A$2:$A$605,0),MATCH("Quarter Range",'Prior YTD Data Pull'!$A$1:$CB$1,0)),"")</f>
        <v xml:space="preserve">10/01/2024-03/31/2025
</v>
      </c>
      <c r="K88" s="37">
        <f t="shared" si="15"/>
        <v>-6.4008461809673387E-2</v>
      </c>
      <c r="L88" s="37">
        <f t="shared" si="16"/>
        <v>0</v>
      </c>
      <c r="M88" s="37">
        <f t="shared" si="17"/>
        <v>-6.4008461809673387E-2</v>
      </c>
      <c r="N88" s="38">
        <f t="shared" si="18"/>
        <v>-1997000</v>
      </c>
      <c r="O88" s="39" t="str">
        <f t="shared" si="19"/>
        <v/>
      </c>
      <c r="P88" s="38">
        <f>IFERROR(INDEX('Prior YTD Data Pull'!$A$2:$CB$605,MATCH('Prior YTD Data Table'!$C88,'Prior YTD Data Pull'!$A$2:$A$605,0),MATCH("Total Net Assets or Equity",'Prior YTD Data Pull'!$A$1:$CB$1,0)),"")</f>
        <v>0</v>
      </c>
      <c r="Q88" s="38">
        <f>IFERROR(INDEX('Prior YTD Data Pull'!$A$2:$CB$605,MATCH('Prior YTD Data Table'!$C88,'Prior YTD Data Pull'!$A$2:$A$605,0),MATCH("Total Operating Revenue",'Prior YTD Data Pull'!$A$1:$CB$1,0)),"")</f>
        <v>31199000</v>
      </c>
      <c r="R88" s="38">
        <f>IFERROR(INDEX('Prior YTD Data Pull'!$A$2:$CB$605,MATCH('Prior YTD Data Table'!$C88,'Prior YTD Data Pull'!$A$2:$A$605,0),MATCH("Total Unrestricted Revenue Gains and Other Support",'Prior YTD Data Pull'!$A$1:$CB$1,0)),"")</f>
        <v>31199000</v>
      </c>
      <c r="S88" s="38">
        <f>IFERROR(INDEX('Prior YTD TS Data Pull'!$J$2:$J$128,MATCH('Prior YTD Data Table'!$C88, 'Prior YTD TS Data Pull'!$A$2:$A$128,0))+INDEX('Prior YTD TS Data Pull'!$N$2:$N$128,MATCH('Prior YTD Data Table'!$C88,'Prior YTD TS Data Pull'!$A$2:$A$609,0))+INDEX('Prior YTD TS Data Pull'!$R$2:$R$128,MATCH('Prior YTD Data Table'!$C88,'Prior YTD TS Data Pull'!$A$2:$A$609,0)),"")</f>
        <v>25600</v>
      </c>
      <c r="T88" s="38">
        <f>IF(INDEX('Prior YTD TS Data Pull'!$A$1:$O$609,MATCH('Prior YTD Data Table'!$C88,'Prior YTD TS Data Pull'!$A$1:$A$609,0),MATCH("Temporary RN Staffing:
Line Reported on in Standardized Financials",'Prior YTD TS Data Pull'!$A$1:$O$1,0))="66.1: Salary and Benefit Expense",'Prior YTD Data Table'!$AV88-'Prior YTD Data Table'!$S88,0)</f>
        <v>0</v>
      </c>
      <c r="U88" s="38">
        <f>IFERROR(INDEX('Prior YTD Data Pull'!$A$2:$CB$605,MATCH('Prior YTD Data Table'!$C88,'Prior YTD Data Pull'!$A$2:$A$605,0),MATCH("Total Expenses Including Nonrecurring Gains Losses",'Prior YTD Data Pull'!$A$1:$CB$1,0)),"")</f>
        <v>33196000</v>
      </c>
      <c r="V88" s="41">
        <f t="shared" si="20"/>
        <v>2948.0608108108108</v>
      </c>
      <c r="W88" s="41">
        <f t="shared" si="21"/>
        <v>0</v>
      </c>
      <c r="X88" s="41">
        <f t="shared" si="13"/>
        <v>0</v>
      </c>
      <c r="Y88" s="37" t="str">
        <f t="shared" si="22"/>
        <v/>
      </c>
      <c r="Z88" s="41">
        <f t="shared" si="14"/>
        <v>0</v>
      </c>
      <c r="AA88" s="39" t="str">
        <f t="shared" si="23"/>
        <v/>
      </c>
      <c r="AB88" s="37" t="str">
        <f t="shared" si="24"/>
        <v/>
      </c>
      <c r="AC88" s="37" t="str">
        <f t="shared" si="25"/>
        <v/>
      </c>
      <c r="AD88" s="38">
        <f>IFERROR(INDEX('Prior YTD Data Pull'!$A$2:$CB$605,MATCH('Prior YTD Data Table'!$C88,'Prior YTD Data Pull'!$A$2:$A$605,0),MATCH("Net Patient Service Revenue",'Prior YTD Data Pull'!$A$1:$CB$1,0)),"")</f>
        <v>22985000</v>
      </c>
      <c r="AE88" s="38">
        <f>IFERROR(INDEX('Prior YTD Data Pull'!$A$2:$CB$605,MATCH('Prior YTD Data Table'!$C88,'Prior YTD Data Pull'!$A$2:$A$605,0),MATCH("Total Current Assets",'Prior YTD Data Pull'!$A$1:$CB$1,0)),"")</f>
        <v>0</v>
      </c>
      <c r="AF88" s="38">
        <f>IFERROR(INDEX('Prior YTD Data Pull'!$A$2:$CB$605,MATCH('Prior YTD Data Table'!$C88,'Prior YTD Data Pull'!$A$2:$A$605,0),MATCH("Total Current Liabilities",'Prior YTD Data Pull'!$A$1:$CB$1,0)),"")</f>
        <v>0</v>
      </c>
      <c r="AG88" s="38">
        <f>IFERROR(INDEX('Prior YTD Data Pull'!$A$2:$CB$605,MATCH('Prior YTD Data Table'!$C88,'Prior YTD Data Pull'!$A$2:$A$605,0),MATCH("Total Non Operating Revenue",'Prior YTD Data Pull'!$A$1:$CB$1,0)),"")</f>
        <v>0</v>
      </c>
      <c r="AH88" s="38">
        <f>IFERROR(INDEX('Prior YTD Data Pull'!$A$2:$CB$605,MATCH('Prior YTD Data Table'!$C88,'Prior Year Data Pull'!$A$2:$A$593,0),MATCH("Less Accumulated Depreciation",'Prior YTD Data Pull'!$A$1:$CB$1,0)),"")</f>
        <v>436313000</v>
      </c>
      <c r="AI88" s="38">
        <f>IFERROR(INDEX('Prior YTD Data Pull'!$A$2:$CB$605,MATCH('Prior YTD Data Table'!$C88,'Prior YTD Data Pull'!$A$2:$A$605,0),MATCH("Depreciation and Amortization Expense",'Prior YTD Data Pull'!$A$1:$CB$1,0)),"")</f>
        <v>148000</v>
      </c>
      <c r="AJ88" s="38">
        <f>IFERROR(INDEX('Prior YTD Data Pull'!$A$2:$CB$605,MATCH('Prior YTD Data Table'!$C88,'Prior YTD Data Pull'!$A$2:$A$605,0),MATCH("Net Patient Accounts Receivable",'Prior YTD Data Pull'!$A$1:$CB$1,0)),"")</f>
        <v>0</v>
      </c>
      <c r="AK88" s="14" t="str">
        <f>IF('Prior YTD Data Pull'!$H87 = 6, "183", IF('Prior YTD Data Pull'!$H87 = 3, "93",""))</f>
        <v>183</v>
      </c>
      <c r="AL88" s="38">
        <f>IFERROR(INDEX('Prior YTD Data Pull'!$A$2:$CB$605,MATCH('Prior YTD Data Table'!$C88,'Prior YTD Data Pull'!$A$2:$A$605,0),MATCH("Estimated Third Party Settlements",'Prior YTD Data Pull'!$A$1:$CB$1,0)),"")</f>
        <v>0</v>
      </c>
      <c r="AM88" s="38">
        <f>IFERROR(INDEX('Prior YTD Data Pull'!$A$2:$CB$605,MATCH('Prior YTD Data Table'!$C88,'Prior YTD Data Pull'!$A$2:$A$605,0),MATCH("Current Liabilities due to Affiliates",'Prior YTD Data Pull'!$A$1:$CB$1,0)),"")</f>
        <v>0</v>
      </c>
      <c r="AN88" s="38">
        <f>IFERROR(INDEX('Prior YTD Data Pull'!$A$2:$CB$605,MATCH('Prior YTD Data Table'!$C88,'Prior YTD Data Pull'!$A$2:$A$605,0),MATCH("Short Term Investments",'Prior YTD Data Pull'!$A$1:$CB$1,0)),"")</f>
        <v>0</v>
      </c>
      <c r="AO88" s="38">
        <f>IFERROR(INDEX('Prior YTD Data Pull'!$A$2:$CB$605,MATCH('Prior YTD Data Table'!$C88,'Prior YTD Data Pull'!$A$2:$A$605,0),MATCH("Cash and Cash Equivalents",'Prior YTD Data Pull'!$A$1:$CB$1,0)),"")</f>
        <v>0</v>
      </c>
      <c r="AP88" s="38">
        <f>IFERROR(INDEX('Prior YTD Data Pull'!$A$2:$CB$605,MATCH('Prior YTD Data Table'!$C88,'Prior YTD Data Pull'!$A$2:$A$605,0),MATCH("Interest Expense",'Prior YTD Data Pull'!$A$1:$CB$1,0)),"")</f>
        <v>0</v>
      </c>
      <c r="AQ88" s="38">
        <f>IFERROR(INDEX('Prior YTD Data Pull'!$A$2:$CB$605,MATCH('Prior YTD Data Table'!$C88,'Prior YTD Data Pull'!$A$2:$A$605,0),MATCH("Long Term Debt Net of Current Portion",'Prior YTD Data Pull'!$A$1:$CB$1,0)),"")</f>
        <v>0</v>
      </c>
      <c r="AR88" s="38">
        <f>IFERROR(INDEX('Prior YTD Data Pull'!$A$2:$CB$605,MATCH('Prior YTD Data Table'!$C88,'Prior YTD Data Pull'!$A$2:$A$605,0),MATCH("Total Assets",'Prior YTD Data Pull'!$A$1:$CB$1,0)),"")</f>
        <v>0</v>
      </c>
      <c r="AS88" s="38">
        <f>IFERROR(INDEX('Prior YTD Data Pull'!$A$2:$CB$605,MATCH('Prior YTD Data Table'!$C88,'Prior YTD Data Pull'!$A$2:$A$605,0),MATCH("Long Term Debt Net of Current Portion",'Prior YTD Data Pull'!$A$1:$CB$1,0)),"")</f>
        <v>0</v>
      </c>
      <c r="AT88" s="38">
        <f>IFERROR(INDEX('Prior YTD Data Pull'!$A$2:$CB$605,MATCH('Prior YTD Data Table'!$C88,'Prior YTD Data Pull'!$A$2:$A$605,0),MATCH("Net Unrestricted Assets",'Prior YTD Data Pull'!$A$1:$CB$1,0)),"")</f>
        <v>0</v>
      </c>
      <c r="AU88" s="38">
        <f>IFERROR(INDEX('Prior YTD Data Pull'!$A$2:$CB$605,MATCH('Prior YTD Data Table'!$C88,'Prior YTD Data Pull'!$A$2:$A$605,0),MATCH("Unrealized Gains/Losses",'Prior YTD Data Pull'!$A$1:$CB$1,0)),"")</f>
        <v>0</v>
      </c>
      <c r="AV88" s="38">
        <f>IFERROR(INDEX('Prior YTD Data Pull'!$A$2:$CB$605,MATCH('Prior YTD Data Table'!$C88,'Prior YTD Data Pull'!$A$2:$A$605,0),MATCH("Salary and Benefit Expense",'Prior YTD Data Pull'!$A$1:$CB$1,0)),"")</f>
        <v>27336000</v>
      </c>
      <c r="AW88" s="38"/>
      <c r="AX88" s="38"/>
      <c r="AY88" s="38"/>
      <c r="AZ88" s="38"/>
    </row>
    <row r="89" spans="1:52" ht="34.200000000000003" x14ac:dyDescent="0.3">
      <c r="A89" s="14" t="str">
        <f>IFERROR(INDEX('Static Data Tab'!$N$2:$N$610,MATCH(D89,'Static Data Tab'!$D$2:$D$610,0)), "")</f>
        <v>Beth Israel Lahey Health</v>
      </c>
      <c r="B89" s="14" t="s">
        <v>105</v>
      </c>
      <c r="C89" s="14">
        <v>12037</v>
      </c>
      <c r="D89" s="14">
        <v>16665</v>
      </c>
      <c r="E89" s="14" t="str">
        <f>IFERROR(INDEX('Prior YTD Data Pull'!$A$1:$CB$605,MATCH('Prior YTD Data Table'!$C89,'Prior YTD Data Pull'!$A$1:$A$605,0),MATCH("Organization Type",'Prior YTD Data Pull'!$A$1:$CB$1,0)),"")</f>
        <v>PhysicianOrganization</v>
      </c>
      <c r="F89" s="14" t="str">
        <f>IFERROR(INDEX('Static Data Tab'!$E$2:$E$610,MATCH('Prior YTD Data Table'!$C89,'Static Data Tab'!$B$2:$B$610,0)), "-")</f>
        <v>-</v>
      </c>
      <c r="G89" s="46" t="str">
        <f>IFERROR(INDEX('Static Data Tab'!$J$2:$J$610,MATCH('Prior YTD Data Table'!$C89,'Static Data Tab'!$B$2:$B$610,0)), "")</f>
        <v/>
      </c>
      <c r="H89" s="14" t="str">
        <f>IFERROR(INDEX('Static Data Tab'!$F$2:$F$610,MATCH('Prior YTD Data Table'!$C89,'Static Data Tab'!$B$2:$B$610,0)), "")</f>
        <v/>
      </c>
      <c r="I89" s="14" t="str">
        <f>IFERROR(INDEX('Static Data Tab'!$G$2:$G$610,MATCH('Prior YTD Data Table'!$C89,'Static Data Tab'!$B$2:$B$610,0)), "")</f>
        <v/>
      </c>
      <c r="J89" s="14" t="str">
        <f>IFERROR(INDEX('Prior YTD Data Pull'!$A$2:$CB$605,MATCH('Prior YTD Data Table'!$C89,'Prior YTD Data Pull'!$A$2:$A$605,0),MATCH("Quarter Range",'Prior YTD Data Pull'!$A$1:$CB$1,0)),"")</f>
        <v xml:space="preserve">10/01/2024-03/31/2025
</v>
      </c>
      <c r="K89" s="37">
        <f t="shared" si="15"/>
        <v>-0.5797715186133543</v>
      </c>
      <c r="L89" s="37">
        <f t="shared" si="16"/>
        <v>0</v>
      </c>
      <c r="M89" s="37">
        <f t="shared" si="17"/>
        <v>-0.5797715186133543</v>
      </c>
      <c r="N89" s="38">
        <f t="shared" si="18"/>
        <v>-11774000</v>
      </c>
      <c r="O89" s="39" t="str">
        <f t="shared" si="19"/>
        <v/>
      </c>
      <c r="P89" s="38">
        <f>IFERROR(INDEX('Prior YTD Data Pull'!$A$2:$CB$605,MATCH('Prior YTD Data Table'!$C89,'Prior YTD Data Pull'!$A$2:$A$605,0),MATCH("Total Net Assets or Equity",'Prior YTD Data Pull'!$A$1:$CB$1,0)),"")</f>
        <v>0</v>
      </c>
      <c r="Q89" s="38">
        <f>IFERROR(INDEX('Prior YTD Data Pull'!$A$2:$CB$605,MATCH('Prior YTD Data Table'!$C89,'Prior YTD Data Pull'!$A$2:$A$605,0),MATCH("Total Operating Revenue",'Prior YTD Data Pull'!$A$1:$CB$1,0)),"")</f>
        <v>20308000</v>
      </c>
      <c r="R89" s="38">
        <f>IFERROR(INDEX('Prior YTD Data Pull'!$A$2:$CB$605,MATCH('Prior YTD Data Table'!$C89,'Prior YTD Data Pull'!$A$2:$A$605,0),MATCH("Total Unrestricted Revenue Gains and Other Support",'Prior YTD Data Pull'!$A$1:$CB$1,0)),"")</f>
        <v>20308000</v>
      </c>
      <c r="S89" s="38">
        <f>IFERROR(INDEX('Prior YTD TS Data Pull'!$J$2:$J$128,MATCH('Prior YTD Data Table'!$C89, 'Prior YTD TS Data Pull'!$A$2:$A$128,0))+INDEX('Prior YTD TS Data Pull'!$N$2:$N$128,MATCH('Prior YTD Data Table'!$C89,'Prior YTD TS Data Pull'!$A$2:$A$609,0))+INDEX('Prior YTD TS Data Pull'!$R$2:$R$128,MATCH('Prior YTD Data Table'!$C89,'Prior YTD TS Data Pull'!$A$2:$A$609,0)),"")</f>
        <v>174789</v>
      </c>
      <c r="T89" s="38">
        <f>IF(INDEX('Prior YTD TS Data Pull'!$A$1:$O$609,MATCH('Prior YTD Data Table'!$C89,'Prior YTD TS Data Pull'!$A$1:$A$609,0),MATCH("Temporary RN Staffing:
Line Reported on in Standardized Financials",'Prior YTD TS Data Pull'!$A$1:$O$1,0))="66.1: Salary and Benefit Expense",'Prior YTD Data Table'!$AV89-'Prior YTD Data Table'!$S89,0)</f>
        <v>26088211</v>
      </c>
      <c r="U89" s="38">
        <f>IFERROR(INDEX('Prior YTD Data Pull'!$A$2:$CB$605,MATCH('Prior YTD Data Table'!$C89,'Prior YTD Data Pull'!$A$2:$A$605,0),MATCH("Total Expenses Including Nonrecurring Gains Losses",'Prior YTD Data Pull'!$A$1:$CB$1,0)),"")</f>
        <v>32082000</v>
      </c>
      <c r="V89" s="41">
        <f t="shared" si="20"/>
        <v>3909.353092783505</v>
      </c>
      <c r="W89" s="41">
        <f t="shared" si="21"/>
        <v>0</v>
      </c>
      <c r="X89" s="41">
        <f t="shared" si="13"/>
        <v>0</v>
      </c>
      <c r="Y89" s="37" t="str">
        <f t="shared" si="22"/>
        <v/>
      </c>
      <c r="Z89" s="41">
        <f t="shared" si="14"/>
        <v>0</v>
      </c>
      <c r="AA89" s="39" t="str">
        <f t="shared" si="23"/>
        <v/>
      </c>
      <c r="AB89" s="37" t="str">
        <f t="shared" si="24"/>
        <v/>
      </c>
      <c r="AC89" s="37" t="str">
        <f t="shared" si="25"/>
        <v/>
      </c>
      <c r="AD89" s="38">
        <f>IFERROR(INDEX('Prior YTD Data Pull'!$A$2:$CB$605,MATCH('Prior YTD Data Table'!$C89,'Prior YTD Data Pull'!$A$2:$A$605,0),MATCH("Net Patient Service Revenue",'Prior YTD Data Pull'!$A$1:$CB$1,0)),"")</f>
        <v>17523000</v>
      </c>
      <c r="AE89" s="38">
        <f>IFERROR(INDEX('Prior YTD Data Pull'!$A$2:$CB$605,MATCH('Prior YTD Data Table'!$C89,'Prior YTD Data Pull'!$A$2:$A$605,0),MATCH("Total Current Assets",'Prior YTD Data Pull'!$A$1:$CB$1,0)),"")</f>
        <v>0</v>
      </c>
      <c r="AF89" s="38">
        <f>IFERROR(INDEX('Prior YTD Data Pull'!$A$2:$CB$605,MATCH('Prior YTD Data Table'!$C89,'Prior YTD Data Pull'!$A$2:$A$605,0),MATCH("Total Current Liabilities",'Prior YTD Data Pull'!$A$1:$CB$1,0)),"")</f>
        <v>0</v>
      </c>
      <c r="AG89" s="38">
        <f>IFERROR(INDEX('Prior YTD Data Pull'!$A$2:$CB$605,MATCH('Prior YTD Data Table'!$C89,'Prior YTD Data Pull'!$A$2:$A$605,0),MATCH("Total Non Operating Revenue",'Prior YTD Data Pull'!$A$1:$CB$1,0)),"")</f>
        <v>0</v>
      </c>
      <c r="AH89" s="38">
        <f>IFERROR(INDEX('Prior YTD Data Pull'!$A$2:$CB$605,MATCH('Prior YTD Data Table'!$C89,'Prior Year Data Pull'!$A$2:$A$593,0),MATCH("Less Accumulated Depreciation",'Prior YTD Data Pull'!$A$1:$CB$1,0)),"")</f>
        <v>1516829000</v>
      </c>
      <c r="AI89" s="38">
        <f>IFERROR(INDEX('Prior YTD Data Pull'!$A$2:$CB$605,MATCH('Prior YTD Data Table'!$C89,'Prior YTD Data Pull'!$A$2:$A$605,0),MATCH("Depreciation and Amortization Expense",'Prior YTD Data Pull'!$A$1:$CB$1,0)),"")</f>
        <v>388000</v>
      </c>
      <c r="AJ89" s="38">
        <f>IFERROR(INDEX('Prior YTD Data Pull'!$A$2:$CB$605,MATCH('Prior YTD Data Table'!$C89,'Prior YTD Data Pull'!$A$2:$A$605,0),MATCH("Net Patient Accounts Receivable",'Prior YTD Data Pull'!$A$1:$CB$1,0)),"")</f>
        <v>0</v>
      </c>
      <c r="AK89" s="14" t="str">
        <f>IF('Prior YTD Data Pull'!$H88 = 6, "183", IF('Prior YTD Data Pull'!$H88 = 3, "93",""))</f>
        <v>183</v>
      </c>
      <c r="AL89" s="38">
        <f>IFERROR(INDEX('Prior YTD Data Pull'!$A$2:$CB$605,MATCH('Prior YTD Data Table'!$C89,'Prior YTD Data Pull'!$A$2:$A$605,0),MATCH("Estimated Third Party Settlements",'Prior YTD Data Pull'!$A$1:$CB$1,0)),"")</f>
        <v>0</v>
      </c>
      <c r="AM89" s="38">
        <f>IFERROR(INDEX('Prior YTD Data Pull'!$A$2:$CB$605,MATCH('Prior YTD Data Table'!$C89,'Prior YTD Data Pull'!$A$2:$A$605,0),MATCH("Current Liabilities due to Affiliates",'Prior YTD Data Pull'!$A$1:$CB$1,0)),"")</f>
        <v>0</v>
      </c>
      <c r="AN89" s="38">
        <f>IFERROR(INDEX('Prior YTD Data Pull'!$A$2:$CB$605,MATCH('Prior YTD Data Table'!$C89,'Prior YTD Data Pull'!$A$2:$A$605,0),MATCH("Short Term Investments",'Prior YTD Data Pull'!$A$1:$CB$1,0)),"")</f>
        <v>0</v>
      </c>
      <c r="AO89" s="38">
        <f>IFERROR(INDEX('Prior YTD Data Pull'!$A$2:$CB$605,MATCH('Prior YTD Data Table'!$C89,'Prior YTD Data Pull'!$A$2:$A$605,0),MATCH("Cash and Cash Equivalents",'Prior YTD Data Pull'!$A$1:$CB$1,0)),"")</f>
        <v>0</v>
      </c>
      <c r="AP89" s="38">
        <f>IFERROR(INDEX('Prior YTD Data Pull'!$A$2:$CB$605,MATCH('Prior YTD Data Table'!$C89,'Prior YTD Data Pull'!$A$2:$A$605,0),MATCH("Interest Expense",'Prior YTD Data Pull'!$A$1:$CB$1,0)),"")</f>
        <v>0</v>
      </c>
      <c r="AQ89" s="38">
        <f>IFERROR(INDEX('Prior YTD Data Pull'!$A$2:$CB$605,MATCH('Prior YTD Data Table'!$C89,'Prior YTD Data Pull'!$A$2:$A$605,0),MATCH("Long Term Debt Net of Current Portion",'Prior YTD Data Pull'!$A$1:$CB$1,0)),"")</f>
        <v>0</v>
      </c>
      <c r="AR89" s="38">
        <f>IFERROR(INDEX('Prior YTD Data Pull'!$A$2:$CB$605,MATCH('Prior YTD Data Table'!$C89,'Prior YTD Data Pull'!$A$2:$A$605,0),MATCH("Total Assets",'Prior YTD Data Pull'!$A$1:$CB$1,0)),"")</f>
        <v>0</v>
      </c>
      <c r="AS89" s="38">
        <f>IFERROR(INDEX('Prior YTD Data Pull'!$A$2:$CB$605,MATCH('Prior YTD Data Table'!$C89,'Prior YTD Data Pull'!$A$2:$A$605,0),MATCH("Long Term Debt Net of Current Portion",'Prior YTD Data Pull'!$A$1:$CB$1,0)),"")</f>
        <v>0</v>
      </c>
      <c r="AT89" s="38">
        <f>IFERROR(INDEX('Prior YTD Data Pull'!$A$2:$CB$605,MATCH('Prior YTD Data Table'!$C89,'Prior YTD Data Pull'!$A$2:$A$605,0),MATCH("Net Unrestricted Assets",'Prior YTD Data Pull'!$A$1:$CB$1,0)),"")</f>
        <v>0</v>
      </c>
      <c r="AU89" s="38">
        <f>IFERROR(INDEX('Prior YTD Data Pull'!$A$2:$CB$605,MATCH('Prior YTD Data Table'!$C89,'Prior YTD Data Pull'!$A$2:$A$605,0),MATCH("Unrealized Gains/Losses",'Prior YTD Data Pull'!$A$1:$CB$1,0)),"")</f>
        <v>0</v>
      </c>
      <c r="AV89" s="38">
        <f>IFERROR(INDEX('Prior YTD Data Pull'!$A$2:$CB$605,MATCH('Prior YTD Data Table'!$C89,'Prior YTD Data Pull'!$A$2:$A$605,0),MATCH("Salary and Benefit Expense",'Prior YTD Data Pull'!$A$1:$CB$1,0)),"")</f>
        <v>26263000</v>
      </c>
      <c r="AW89" s="47"/>
      <c r="AX89" s="47"/>
      <c r="AY89" s="47"/>
      <c r="AZ89" s="47"/>
    </row>
    <row r="90" spans="1:52" ht="34.200000000000003" x14ac:dyDescent="0.3">
      <c r="A90" s="14" t="str">
        <f>IFERROR(INDEX('Static Data Tab'!$N$2:$N$610,MATCH(D90,'Static Data Tab'!$D$2:$D$610,0)), "")</f>
        <v>Mass General Brigham</v>
      </c>
      <c r="B90" s="57" t="s">
        <v>151</v>
      </c>
      <c r="C90" s="57">
        <v>10996</v>
      </c>
      <c r="D90" s="57">
        <v>3791</v>
      </c>
      <c r="E90" s="14" t="str">
        <f>IFERROR(INDEX('Prior YTD Data Pull'!$A$1:$CB$605,MATCH('Prior YTD Data Table'!$C90,'Prior YTD Data Pull'!$A$1:$A$605,0),MATCH("Organization Type",'Prior YTD Data Pull'!$A$1:$CB$1,0)),"")</f>
        <v>PhysicianOrganization</v>
      </c>
      <c r="F90" s="14" t="str">
        <f>IFERROR(INDEX('Static Data Tab'!$E$2:$E$610,MATCH('Prior YTD Data Table'!$C90,'Static Data Tab'!$B$2:$B$610,0)), "-")</f>
        <v>-</v>
      </c>
      <c r="G90" s="46" t="str">
        <f>IFERROR(INDEX('Static Data Tab'!$J$2:$J$610,MATCH('Prior YTD Data Table'!$C90,'Static Data Tab'!$B$2:$B$610,0)), "")</f>
        <v/>
      </c>
      <c r="H90" s="14" t="str">
        <f>IFERROR(INDEX('Static Data Tab'!$F$2:$F$610,MATCH('Prior YTD Data Table'!$C90,'Static Data Tab'!$B$2:$B$610,0)), "")</f>
        <v/>
      </c>
      <c r="I90" s="14" t="str">
        <f>IFERROR(INDEX('Static Data Tab'!$G$2:$G$610,MATCH('Prior YTD Data Table'!$C90,'Static Data Tab'!$B$2:$B$610,0)), "")</f>
        <v/>
      </c>
      <c r="J90" s="14" t="str">
        <f>IFERROR(INDEX('Prior YTD Data Pull'!$A$2:$CB$605,MATCH('Prior YTD Data Table'!$C90,'Prior YTD Data Pull'!$A$2:$A$605,0),MATCH("Quarter Range",'Prior YTD Data Pull'!$A$1:$CB$1,0)),"")</f>
        <v xml:space="preserve">10/01/2024-03/31/2025
</v>
      </c>
      <c r="K90" s="37">
        <f t="shared" si="15"/>
        <v>7.6631728612265261E-3</v>
      </c>
      <c r="L90" s="37">
        <f t="shared" si="16"/>
        <v>2.0499846169010971E-2</v>
      </c>
      <c r="M90" s="37">
        <f t="shared" si="17"/>
        <v>2.8163019030237497E-2</v>
      </c>
      <c r="N90" s="38">
        <f t="shared" si="18"/>
        <v>18857000</v>
      </c>
      <c r="O90" s="39" t="str">
        <f t="shared" si="19"/>
        <v/>
      </c>
      <c r="P90" s="38">
        <f>IFERROR(INDEX('Prior YTD Data Pull'!$A$2:$CB$605,MATCH('Prior YTD Data Table'!$C90,'Prior YTD Data Pull'!$A$2:$A$605,0),MATCH("Total Net Assets or Equity",'Prior YTD Data Pull'!$A$1:$CB$1,0)),"")</f>
        <v>0</v>
      </c>
      <c r="Q90" s="38">
        <f>IFERROR(INDEX('Prior YTD Data Pull'!$A$2:$CB$605,MATCH('Prior YTD Data Table'!$C90,'Prior YTD Data Pull'!$A$2:$A$605,0),MATCH("Total Operating Revenue",'Prior YTD Data Pull'!$A$1:$CB$1,0)),"")</f>
        <v>655840000</v>
      </c>
      <c r="R90" s="38">
        <f>IFERROR(INDEX('Prior YTD Data Pull'!$A$2:$CB$605,MATCH('Prior YTD Data Table'!$C90,'Prior YTD Data Pull'!$A$2:$A$605,0),MATCH("Total Unrestricted Revenue Gains and Other Support",'Prior YTD Data Pull'!$A$1:$CB$1,0)),"")</f>
        <v>669566000</v>
      </c>
      <c r="S90" s="38">
        <f>IFERROR(INDEX('Prior YTD TS Data Pull'!$J$2:$J$128,MATCH('Prior YTD Data Table'!$C90, 'Prior YTD TS Data Pull'!$A$2:$A$128,0))+INDEX('Prior YTD TS Data Pull'!$N$2:$N$128,MATCH('Prior YTD Data Table'!$C90,'Prior YTD TS Data Pull'!$A$2:$A$609,0))+INDEX('Prior YTD TS Data Pull'!$R$2:$R$128,MATCH('Prior YTD Data Table'!$C90,'Prior YTD TS Data Pull'!$A$2:$A$609,0)),"")</f>
        <v>2122720.2600000002</v>
      </c>
      <c r="T90" s="38">
        <f>IF(INDEX('Prior YTD TS Data Pull'!$A$1:$O$609,MATCH('Prior YTD Data Table'!$C90,'Prior YTD TS Data Pull'!$A$1:$A$609,0),MATCH("Temporary RN Staffing:
Line Reported on in Standardized Financials",'Prior YTD TS Data Pull'!$A$1:$O$1,0))="66.1: Salary and Benefit Expense",'Prior YTD Data Table'!$AV90-'Prior YTD Data Table'!$S90,0)</f>
        <v>0</v>
      </c>
      <c r="U90" s="38">
        <f>IFERROR(INDEX('Prior YTD Data Pull'!$A$2:$CB$605,MATCH('Prior YTD Data Table'!$C90,'Prior YTD Data Pull'!$A$2:$A$605,0),MATCH("Total Expenses Including Nonrecurring Gains Losses",'Prior YTD Data Pull'!$A$1:$CB$1,0)),"")</f>
        <v>650709000</v>
      </c>
      <c r="V90" s="41">
        <f t="shared" si="20"/>
        <v>126.5407483341876</v>
      </c>
      <c r="W90" s="41">
        <f t="shared" si="21"/>
        <v>0</v>
      </c>
      <c r="X90" s="41">
        <f t="shared" si="13"/>
        <v>0</v>
      </c>
      <c r="Y90" s="37" t="str">
        <f t="shared" si="22"/>
        <v/>
      </c>
      <c r="Z90" s="41">
        <f t="shared" si="14"/>
        <v>0</v>
      </c>
      <c r="AA90" s="39">
        <f t="shared" si="23"/>
        <v>40.611510791366904</v>
      </c>
      <c r="AB90" s="37" t="str">
        <f t="shared" si="24"/>
        <v/>
      </c>
      <c r="AC90" s="37" t="str">
        <f t="shared" si="25"/>
        <v/>
      </c>
      <c r="AD90" s="38">
        <f>IFERROR(INDEX('Prior YTD Data Pull'!$A$2:$CB$605,MATCH('Prior YTD Data Table'!$C90,'Prior YTD Data Pull'!$A$2:$A$605,0),MATCH("Net Patient Service Revenue",'Prior YTD Data Pull'!$A$1:$CB$1,0)),"")</f>
        <v>468978000</v>
      </c>
      <c r="AE90" s="38">
        <f>IFERROR(INDEX('Prior YTD Data Pull'!$A$2:$CB$605,MATCH('Prior YTD Data Table'!$C90,'Prior YTD Data Pull'!$A$2:$A$605,0),MATCH("Total Current Assets",'Prior YTD Data Pull'!$A$1:$CB$1,0)),"")</f>
        <v>0</v>
      </c>
      <c r="AF90" s="38">
        <f>IFERROR(INDEX('Prior YTD Data Pull'!$A$2:$CB$605,MATCH('Prior YTD Data Table'!$C90,'Prior YTD Data Pull'!$A$2:$A$605,0),MATCH("Total Current Liabilities",'Prior YTD Data Pull'!$A$1:$CB$1,0)),"")</f>
        <v>0</v>
      </c>
      <c r="AG90" s="38">
        <f>IFERROR(INDEX('Prior YTD Data Pull'!$A$2:$CB$605,MATCH('Prior YTD Data Table'!$C90,'Prior YTD Data Pull'!$A$2:$A$605,0),MATCH("Total Non Operating Revenue",'Prior YTD Data Pull'!$A$1:$CB$1,0)),"")</f>
        <v>13726000</v>
      </c>
      <c r="AH90" s="38">
        <f>IFERROR(INDEX('Prior YTD Data Pull'!$A$2:$CB$605,MATCH('Prior YTD Data Table'!$C90,'Prior Year Data Pull'!$A$2:$A$593,0),MATCH("Less Accumulated Depreciation",'Prior YTD Data Pull'!$A$1:$CB$1,0)),"")</f>
        <v>493762000</v>
      </c>
      <c r="AI90" s="38">
        <f>IFERROR(INDEX('Prior YTD Data Pull'!$A$2:$CB$605,MATCH('Prior YTD Data Table'!$C90,'Prior YTD Data Pull'!$A$2:$A$605,0),MATCH("Depreciation and Amortization Expense",'Prior YTD Data Pull'!$A$1:$CB$1,0)),"")</f>
        <v>3902000</v>
      </c>
      <c r="AJ90" s="38">
        <f>IFERROR(INDEX('Prior YTD Data Pull'!$A$2:$CB$605,MATCH('Prior YTD Data Table'!$C90,'Prior YTD Data Pull'!$A$2:$A$605,0),MATCH("Net Patient Accounts Receivable",'Prior YTD Data Pull'!$A$1:$CB$1,0)),"")</f>
        <v>0</v>
      </c>
      <c r="AK90" s="14" t="str">
        <f>IF('Prior YTD Data Pull'!$H89 = 6, "183", IF('Prior YTD Data Pull'!$H89 = 3, "93",""))</f>
        <v>183</v>
      </c>
      <c r="AL90" s="38">
        <f>IFERROR(INDEX('Prior YTD Data Pull'!$A$2:$CB$605,MATCH('Prior YTD Data Table'!$C90,'Prior YTD Data Pull'!$A$2:$A$605,0),MATCH("Estimated Third Party Settlements",'Prior YTD Data Pull'!$A$1:$CB$1,0)),"")</f>
        <v>0</v>
      </c>
      <c r="AM90" s="38">
        <f>IFERROR(INDEX('Prior YTD Data Pull'!$A$2:$CB$605,MATCH('Prior YTD Data Table'!$C90,'Prior YTD Data Pull'!$A$2:$A$605,0),MATCH("Current Liabilities due to Affiliates",'Prior YTD Data Pull'!$A$1:$CB$1,0)),"")</f>
        <v>0</v>
      </c>
      <c r="AN90" s="38">
        <f>IFERROR(INDEX('Prior YTD Data Pull'!$A$2:$CB$605,MATCH('Prior YTD Data Table'!$C90,'Prior YTD Data Pull'!$A$2:$A$605,0),MATCH("Short Term Investments",'Prior YTD Data Pull'!$A$1:$CB$1,0)),"")</f>
        <v>0</v>
      </c>
      <c r="AO90" s="38">
        <f>IFERROR(INDEX('Prior YTD Data Pull'!$A$2:$CB$605,MATCH('Prior YTD Data Table'!$C90,'Prior YTD Data Pull'!$A$2:$A$605,0),MATCH("Cash and Cash Equivalents",'Prior YTD Data Pull'!$A$1:$CB$1,0)),"")</f>
        <v>0</v>
      </c>
      <c r="AP90" s="38">
        <f>IFERROR(INDEX('Prior YTD Data Pull'!$A$2:$CB$605,MATCH('Prior YTD Data Table'!$C90,'Prior YTD Data Pull'!$A$2:$A$605,0),MATCH("Interest Expense",'Prior YTD Data Pull'!$A$1:$CB$1,0)),"")</f>
        <v>556000</v>
      </c>
      <c r="AQ90" s="38">
        <f>IFERROR(INDEX('Prior YTD Data Pull'!$A$2:$CB$605,MATCH('Prior YTD Data Table'!$C90,'Prior YTD Data Pull'!$A$2:$A$605,0),MATCH("Long Term Debt Net of Current Portion",'Prior YTD Data Pull'!$A$1:$CB$1,0)),"")</f>
        <v>0</v>
      </c>
      <c r="AR90" s="38">
        <f>IFERROR(INDEX('Prior YTD Data Pull'!$A$2:$CB$605,MATCH('Prior YTD Data Table'!$C90,'Prior YTD Data Pull'!$A$2:$A$605,0),MATCH("Total Assets",'Prior YTD Data Pull'!$A$1:$CB$1,0)),"")</f>
        <v>0</v>
      </c>
      <c r="AS90" s="38">
        <f>IFERROR(INDEX('Prior YTD Data Pull'!$A$2:$CB$605,MATCH('Prior YTD Data Table'!$C90,'Prior YTD Data Pull'!$A$2:$A$605,0),MATCH("Long Term Debt Net of Current Portion",'Prior YTD Data Pull'!$A$1:$CB$1,0)),"")</f>
        <v>0</v>
      </c>
      <c r="AT90" s="38">
        <f>IFERROR(INDEX('Prior YTD Data Pull'!$A$2:$CB$605,MATCH('Prior YTD Data Table'!$C90,'Prior YTD Data Pull'!$A$2:$A$605,0),MATCH("Net Unrestricted Assets",'Prior YTD Data Pull'!$A$1:$CB$1,0)),"")</f>
        <v>0</v>
      </c>
      <c r="AU90" s="38">
        <f>IFERROR(INDEX('Prior YTD Data Pull'!$A$2:$CB$605,MATCH('Prior YTD Data Table'!$C90,'Prior YTD Data Pull'!$A$2:$A$605,0),MATCH("Unrealized Gains/Losses",'Prior YTD Data Pull'!$A$1:$CB$1,0)),"")</f>
        <v>735000</v>
      </c>
      <c r="AV90" s="38">
        <f>IFERROR(INDEX('Prior YTD Data Pull'!$A$2:$CB$605,MATCH('Prior YTD Data Table'!$C90,'Prior YTD Data Pull'!$A$2:$A$605,0),MATCH("Salary and Benefit Expense",'Prior YTD Data Pull'!$A$1:$CB$1,0)),"")</f>
        <v>545443000</v>
      </c>
      <c r="AW90" s="38"/>
      <c r="AX90" s="38"/>
      <c r="AY90" s="38"/>
      <c r="AZ90" s="38"/>
    </row>
    <row r="91" spans="1:52" ht="34.200000000000003" x14ac:dyDescent="0.3">
      <c r="A91" s="14" t="str">
        <f>IFERROR(INDEX('Static Data Tab'!$N$2:$N$610,MATCH(D91,'Static Data Tab'!$D$2:$D$610,0)), "")</f>
        <v>Beth Israel Lahey Health</v>
      </c>
      <c r="B91" s="14" t="s">
        <v>109</v>
      </c>
      <c r="C91" s="14">
        <v>8655</v>
      </c>
      <c r="D91" s="14">
        <v>16665</v>
      </c>
      <c r="E91" s="14" t="str">
        <f>IFERROR(INDEX('Prior YTD Data Pull'!$A$1:$CB$605,MATCH('Prior YTD Data Table'!$C91,'Prior YTD Data Pull'!$A$1:$A$605,0),MATCH("Organization Type",'Prior YTD Data Pull'!$A$1:$CB$1,0)),"")</f>
        <v>PhysicianOrganization</v>
      </c>
      <c r="F91" s="14" t="str">
        <f>IFERROR(INDEX('Static Data Tab'!$E$2:$E$610,MATCH('Prior YTD Data Table'!$C91,'Static Data Tab'!$B$2:$B$610,0)), "-")</f>
        <v>-</v>
      </c>
      <c r="G91" s="46" t="str">
        <f>IFERROR(INDEX('Static Data Tab'!$J$2:$J$610,MATCH('Prior YTD Data Table'!$C91,'Static Data Tab'!$B$2:$B$610,0)), "")</f>
        <v/>
      </c>
      <c r="H91" s="14" t="str">
        <f>IFERROR(INDEX('Static Data Tab'!$F$2:$F$610,MATCH('Prior YTD Data Table'!$C91,'Static Data Tab'!$B$2:$B$610,0)), "")</f>
        <v/>
      </c>
      <c r="I91" s="14" t="str">
        <f>IFERROR(INDEX('Static Data Tab'!$G$2:$G$610,MATCH('Prior YTD Data Table'!$C91,'Static Data Tab'!$B$2:$B$610,0)), "")</f>
        <v/>
      </c>
      <c r="J91" s="14" t="str">
        <f>IFERROR(INDEX('Prior YTD Data Pull'!$A$2:$CB$605,MATCH('Prior YTD Data Table'!$C91,'Prior YTD Data Pull'!$A$2:$A$605,0),MATCH("Quarter Range",'Prior YTD Data Pull'!$A$1:$CB$1,0)),"")</f>
        <v xml:space="preserve">10/01/2024-03/31/2025
</v>
      </c>
      <c r="K91" s="37">
        <f t="shared" si="15"/>
        <v>-1.2515114873035067</v>
      </c>
      <c r="L91" s="37">
        <f t="shared" si="16"/>
        <v>0</v>
      </c>
      <c r="M91" s="37">
        <f t="shared" si="17"/>
        <v>-1.2515114873035067</v>
      </c>
      <c r="N91" s="38">
        <f t="shared" si="18"/>
        <v>-5175000</v>
      </c>
      <c r="O91" s="39" t="str">
        <f t="shared" si="19"/>
        <v/>
      </c>
      <c r="P91" s="38">
        <f>IFERROR(INDEX('Prior YTD Data Pull'!$A$2:$CB$605,MATCH('Prior YTD Data Table'!$C91,'Prior YTD Data Pull'!$A$2:$A$605,0),MATCH("Total Net Assets or Equity",'Prior YTD Data Pull'!$A$1:$CB$1,0)),"")</f>
        <v>0</v>
      </c>
      <c r="Q91" s="38">
        <f>IFERROR(INDEX('Prior YTD Data Pull'!$A$2:$CB$605,MATCH('Prior YTD Data Table'!$C91,'Prior YTD Data Pull'!$A$2:$A$605,0),MATCH("Total Operating Revenue",'Prior YTD Data Pull'!$A$1:$CB$1,0)),"")</f>
        <v>4135000</v>
      </c>
      <c r="R91" s="38">
        <f>IFERROR(INDEX('Prior YTD Data Pull'!$A$2:$CB$605,MATCH('Prior YTD Data Table'!$C91,'Prior YTD Data Pull'!$A$2:$A$605,0),MATCH("Total Unrestricted Revenue Gains and Other Support",'Prior YTD Data Pull'!$A$1:$CB$1,0)),"")</f>
        <v>4135000</v>
      </c>
      <c r="S91" s="38">
        <f>IFERROR(INDEX('Prior YTD TS Data Pull'!$J$2:$J$128,MATCH('Prior YTD Data Table'!$C91, 'Prior YTD TS Data Pull'!$A$2:$A$128,0))+INDEX('Prior YTD TS Data Pull'!$N$2:$N$128,MATCH('Prior YTD Data Table'!$C91,'Prior YTD TS Data Pull'!$A$2:$A$609,0))+INDEX('Prior YTD TS Data Pull'!$R$2:$R$128,MATCH('Prior YTD Data Table'!$C91,'Prior YTD TS Data Pull'!$A$2:$A$609,0)),"")</f>
        <v>0</v>
      </c>
      <c r="T91" s="38">
        <f>IF(INDEX('Prior YTD TS Data Pull'!$A$1:$O$609,MATCH('Prior YTD Data Table'!$C91,'Prior YTD TS Data Pull'!$A$1:$A$609,0),MATCH("Temporary RN Staffing:
Line Reported on in Standardized Financials",'Prior YTD TS Data Pull'!$A$1:$O$1,0))="66.1: Salary and Benefit Expense",'Prior YTD Data Table'!$AV91-'Prior YTD Data Table'!$S91,0)</f>
        <v>8562000</v>
      </c>
      <c r="U91" s="38">
        <f>IFERROR(INDEX('Prior YTD Data Pull'!$A$2:$CB$605,MATCH('Prior YTD Data Table'!$C91,'Prior YTD Data Pull'!$A$2:$A$605,0),MATCH("Total Expenses Including Nonrecurring Gains Losses",'Prior YTD Data Pull'!$A$1:$CB$1,0)),"")</f>
        <v>9310000</v>
      </c>
      <c r="V91" s="41">
        <f t="shared" si="20"/>
        <v>2283.5535178571427</v>
      </c>
      <c r="W91" s="41">
        <f t="shared" si="21"/>
        <v>0</v>
      </c>
      <c r="X91" s="41">
        <f t="shared" si="13"/>
        <v>0</v>
      </c>
      <c r="Y91" s="37" t="str">
        <f t="shared" si="22"/>
        <v/>
      </c>
      <c r="Z91" s="41">
        <f t="shared" si="14"/>
        <v>0</v>
      </c>
      <c r="AA91" s="39" t="str">
        <f t="shared" si="23"/>
        <v/>
      </c>
      <c r="AB91" s="37" t="str">
        <f t="shared" si="24"/>
        <v/>
      </c>
      <c r="AC91" s="37" t="str">
        <f t="shared" si="25"/>
        <v/>
      </c>
      <c r="AD91" s="38">
        <f>IFERROR(INDEX('Prior YTD Data Pull'!$A$2:$CB$605,MATCH('Prior YTD Data Table'!$C91,'Prior YTD Data Pull'!$A$2:$A$605,0),MATCH("Net Patient Service Revenue",'Prior YTD Data Pull'!$A$1:$CB$1,0)),"")</f>
        <v>4037000</v>
      </c>
      <c r="AE91" s="38">
        <f>IFERROR(INDEX('Prior YTD Data Pull'!$A$2:$CB$605,MATCH('Prior YTD Data Table'!$C91,'Prior YTD Data Pull'!$A$2:$A$605,0),MATCH("Total Current Assets",'Prior YTD Data Pull'!$A$1:$CB$1,0)),"")</f>
        <v>0</v>
      </c>
      <c r="AF91" s="38">
        <f>IFERROR(INDEX('Prior YTD Data Pull'!$A$2:$CB$605,MATCH('Prior YTD Data Table'!$C91,'Prior YTD Data Pull'!$A$2:$A$605,0),MATCH("Total Current Liabilities",'Prior YTD Data Pull'!$A$1:$CB$1,0)),"")</f>
        <v>0</v>
      </c>
      <c r="AG91" s="38">
        <f>IFERROR(INDEX('Prior YTD Data Pull'!$A$2:$CB$605,MATCH('Prior YTD Data Table'!$C91,'Prior YTD Data Pull'!$A$2:$A$605,0),MATCH("Total Non Operating Revenue",'Prior YTD Data Pull'!$A$1:$CB$1,0)),"")</f>
        <v>0</v>
      </c>
      <c r="AH91" s="38">
        <f>IFERROR(INDEX('Prior YTD Data Pull'!$A$2:$CB$605,MATCH('Prior YTD Data Table'!$C91,'Prior Year Data Pull'!$A$2:$A$593,0),MATCH("Less Accumulated Depreciation",'Prior YTD Data Pull'!$A$1:$CB$1,0)),"")</f>
        <v>127878997</v>
      </c>
      <c r="AI91" s="38">
        <f>IFERROR(INDEX('Prior YTD Data Pull'!$A$2:$CB$605,MATCH('Prior YTD Data Table'!$C91,'Prior YTD Data Pull'!$A$2:$A$605,0),MATCH("Depreciation and Amortization Expense",'Prior YTD Data Pull'!$A$1:$CB$1,0)),"")</f>
        <v>56000</v>
      </c>
      <c r="AJ91" s="38">
        <f>IFERROR(INDEX('Prior YTD Data Pull'!$A$2:$CB$605,MATCH('Prior YTD Data Table'!$C91,'Prior YTD Data Pull'!$A$2:$A$605,0),MATCH("Net Patient Accounts Receivable",'Prior YTD Data Pull'!$A$1:$CB$1,0)),"")</f>
        <v>0</v>
      </c>
      <c r="AK91" s="14" t="str">
        <f>IF('Prior YTD Data Pull'!$H90 = 6, "183", IF('Prior YTD Data Pull'!$H90 = 3, "93",""))</f>
        <v>183</v>
      </c>
      <c r="AL91" s="38">
        <f>IFERROR(INDEX('Prior YTD Data Pull'!$A$2:$CB$605,MATCH('Prior YTD Data Table'!$C91,'Prior YTD Data Pull'!$A$2:$A$605,0),MATCH("Estimated Third Party Settlements",'Prior YTD Data Pull'!$A$1:$CB$1,0)),"")</f>
        <v>0</v>
      </c>
      <c r="AM91" s="38">
        <f>IFERROR(INDEX('Prior YTD Data Pull'!$A$2:$CB$605,MATCH('Prior YTD Data Table'!$C91,'Prior YTD Data Pull'!$A$2:$A$605,0),MATCH("Current Liabilities due to Affiliates",'Prior YTD Data Pull'!$A$1:$CB$1,0)),"")</f>
        <v>0</v>
      </c>
      <c r="AN91" s="38">
        <f>IFERROR(INDEX('Prior YTD Data Pull'!$A$2:$CB$605,MATCH('Prior YTD Data Table'!$C91,'Prior YTD Data Pull'!$A$2:$A$605,0),MATCH("Short Term Investments",'Prior YTD Data Pull'!$A$1:$CB$1,0)),"")</f>
        <v>0</v>
      </c>
      <c r="AO91" s="38">
        <f>IFERROR(INDEX('Prior YTD Data Pull'!$A$2:$CB$605,MATCH('Prior YTD Data Table'!$C91,'Prior YTD Data Pull'!$A$2:$A$605,0),MATCH("Cash and Cash Equivalents",'Prior YTD Data Pull'!$A$1:$CB$1,0)),"")</f>
        <v>0</v>
      </c>
      <c r="AP91" s="38">
        <f>IFERROR(INDEX('Prior YTD Data Pull'!$A$2:$CB$605,MATCH('Prior YTD Data Table'!$C91,'Prior YTD Data Pull'!$A$2:$A$605,0),MATCH("Interest Expense",'Prior YTD Data Pull'!$A$1:$CB$1,0)),"")</f>
        <v>0</v>
      </c>
      <c r="AQ91" s="38">
        <f>IFERROR(INDEX('Prior YTD Data Pull'!$A$2:$CB$605,MATCH('Prior YTD Data Table'!$C91,'Prior YTD Data Pull'!$A$2:$A$605,0),MATCH("Long Term Debt Net of Current Portion",'Prior YTD Data Pull'!$A$1:$CB$1,0)),"")</f>
        <v>0</v>
      </c>
      <c r="AR91" s="38">
        <f>IFERROR(INDEX('Prior YTD Data Pull'!$A$2:$CB$605,MATCH('Prior YTD Data Table'!$C91,'Prior YTD Data Pull'!$A$2:$A$605,0),MATCH("Total Assets",'Prior YTD Data Pull'!$A$1:$CB$1,0)),"")</f>
        <v>0</v>
      </c>
      <c r="AS91" s="38">
        <f>IFERROR(INDEX('Prior YTD Data Pull'!$A$2:$CB$605,MATCH('Prior YTD Data Table'!$C91,'Prior YTD Data Pull'!$A$2:$A$605,0),MATCH("Long Term Debt Net of Current Portion",'Prior YTD Data Pull'!$A$1:$CB$1,0)),"")</f>
        <v>0</v>
      </c>
      <c r="AT91" s="38">
        <f>IFERROR(INDEX('Prior YTD Data Pull'!$A$2:$CB$605,MATCH('Prior YTD Data Table'!$C91,'Prior YTD Data Pull'!$A$2:$A$605,0),MATCH("Net Unrestricted Assets",'Prior YTD Data Pull'!$A$1:$CB$1,0)),"")</f>
        <v>0</v>
      </c>
      <c r="AU91" s="38">
        <f>IFERROR(INDEX('Prior YTD Data Pull'!$A$2:$CB$605,MATCH('Prior YTD Data Table'!$C91,'Prior YTD Data Pull'!$A$2:$A$605,0),MATCH("Unrealized Gains/Losses",'Prior YTD Data Pull'!$A$1:$CB$1,0)),"")</f>
        <v>0</v>
      </c>
      <c r="AV91" s="38">
        <f>IFERROR(INDEX('Prior YTD Data Pull'!$A$2:$CB$605,MATCH('Prior YTD Data Table'!$C91,'Prior YTD Data Pull'!$A$2:$A$605,0),MATCH("Salary and Benefit Expense",'Prior YTD Data Pull'!$A$1:$CB$1,0)),"")</f>
        <v>8562000</v>
      </c>
      <c r="AW91" s="38"/>
      <c r="AX91" s="38"/>
      <c r="AY91" s="38"/>
      <c r="AZ91" s="38"/>
    </row>
    <row r="92" spans="1:52" ht="34.200000000000003" x14ac:dyDescent="0.3">
      <c r="A92" s="14" t="str">
        <f>IFERROR(INDEX('Static Data Tab'!$N$2:$N$610,MATCH(D92,'Static Data Tab'!$D$2:$D$610,0)), "")</f>
        <v>Mass General Brigham</v>
      </c>
      <c r="B92" s="57" t="s">
        <v>157</v>
      </c>
      <c r="C92" s="57">
        <v>11004</v>
      </c>
      <c r="D92" s="57">
        <v>3791</v>
      </c>
      <c r="E92" s="14" t="str">
        <f>IFERROR(INDEX('Prior YTD Data Pull'!$A$1:$CB$605,MATCH('Prior YTD Data Table'!$C92,'Prior YTD Data Pull'!$A$1:$A$605,0),MATCH("Organization Type",'Prior YTD Data Pull'!$A$1:$CB$1,0)),"")</f>
        <v>PhysicianOrganization</v>
      </c>
      <c r="F92" s="14" t="str">
        <f>IFERROR(INDEX('Static Data Tab'!$E$2:$E$610,MATCH('Prior YTD Data Table'!$C92,'Static Data Tab'!$B$2:$B$610,0)), "-")</f>
        <v>-</v>
      </c>
      <c r="G92" s="46" t="str">
        <f>IFERROR(INDEX('Static Data Tab'!$J$2:$J$610,MATCH('Prior YTD Data Table'!$C92,'Static Data Tab'!$B$2:$B$610,0)), "")</f>
        <v/>
      </c>
      <c r="H92" s="14" t="str">
        <f>IFERROR(INDEX('Static Data Tab'!$F$2:$F$610,MATCH('Prior YTD Data Table'!$C92,'Static Data Tab'!$B$2:$B$610,0)), "")</f>
        <v/>
      </c>
      <c r="I92" s="14" t="str">
        <f>IFERROR(INDEX('Static Data Tab'!$G$2:$G$610,MATCH('Prior YTD Data Table'!$C92,'Static Data Tab'!$B$2:$B$610,0)), "")</f>
        <v/>
      </c>
      <c r="J92" s="14" t="str">
        <f>IFERROR(INDEX('Prior YTD Data Pull'!$A$2:$CB$605,MATCH('Prior YTD Data Table'!$C92,'Prior YTD Data Pull'!$A$2:$A$605,0),MATCH("Quarter Range",'Prior YTD Data Pull'!$A$1:$CB$1,0)),"")</f>
        <v xml:space="preserve">10/01/2024-03/31/2025
</v>
      </c>
      <c r="K92" s="37">
        <f t="shared" si="15"/>
        <v>-9.9619030152471297E-2</v>
      </c>
      <c r="L92" s="37">
        <f t="shared" si="16"/>
        <v>-5.3352451295047394E-4</v>
      </c>
      <c r="M92" s="37">
        <f t="shared" si="17"/>
        <v>-0.10015255466542178</v>
      </c>
      <c r="N92" s="38">
        <f t="shared" si="18"/>
        <v>-12014000</v>
      </c>
      <c r="O92" s="39" t="str">
        <f t="shared" si="19"/>
        <v/>
      </c>
      <c r="P92" s="38">
        <f>IFERROR(INDEX('Prior YTD Data Pull'!$A$2:$CB$605,MATCH('Prior YTD Data Table'!$C92,'Prior YTD Data Pull'!$A$2:$A$605,0),MATCH("Total Net Assets or Equity",'Prior YTD Data Pull'!$A$1:$CB$1,0)),"")</f>
        <v>0</v>
      </c>
      <c r="Q92" s="38">
        <f>IFERROR(INDEX('Prior YTD Data Pull'!$A$2:$CB$605,MATCH('Prior YTD Data Table'!$C92,'Prior YTD Data Pull'!$A$2:$A$605,0),MATCH("Total Operating Revenue",'Prior YTD Data Pull'!$A$1:$CB$1,0)),"")</f>
        <v>120021000</v>
      </c>
      <c r="R92" s="38">
        <f>IFERROR(INDEX('Prior YTD Data Pull'!$A$2:$CB$605,MATCH('Prior YTD Data Table'!$C92,'Prior YTD Data Pull'!$A$2:$A$605,0),MATCH("Total Unrestricted Revenue Gains and Other Support",'Prior YTD Data Pull'!$A$1:$CB$1,0)),"")</f>
        <v>119957000</v>
      </c>
      <c r="S92" s="38">
        <f>IFERROR(INDEX('Prior YTD TS Data Pull'!$J$2:$J$128,MATCH('Prior YTD Data Table'!$C92, 'Prior YTD TS Data Pull'!$A$2:$A$128,0))+INDEX('Prior YTD TS Data Pull'!$N$2:$N$128,MATCH('Prior YTD Data Table'!$C92,'Prior YTD TS Data Pull'!$A$2:$A$609,0))+INDEX('Prior YTD TS Data Pull'!$R$2:$R$128,MATCH('Prior YTD Data Table'!$C92,'Prior YTD TS Data Pull'!$A$2:$A$609,0)),"")</f>
        <v>2463145.54</v>
      </c>
      <c r="T92" s="38">
        <f>IF(INDEX('Prior YTD TS Data Pull'!$A$1:$O$609,MATCH('Prior YTD Data Table'!$C92,'Prior YTD TS Data Pull'!$A$1:$A$609,0),MATCH("Temporary RN Staffing:
Line Reported on in Standardized Financials",'Prior YTD TS Data Pull'!$A$1:$O$1,0))="66.1: Salary and Benefit Expense",'Prior YTD Data Table'!$AV92-'Prior YTD Data Table'!$S92,0)</f>
        <v>0</v>
      </c>
      <c r="U92" s="38">
        <f>IFERROR(INDEX('Prior YTD Data Pull'!$A$2:$CB$605,MATCH('Prior YTD Data Table'!$C92,'Prior YTD Data Pull'!$A$2:$A$605,0),MATCH("Total Expenses Including Nonrecurring Gains Losses",'Prior YTD Data Pull'!$A$1:$CB$1,0)),"")</f>
        <v>131971000</v>
      </c>
      <c r="V92" s="41">
        <f t="shared" si="20"/>
        <v>0</v>
      </c>
      <c r="W92" s="41">
        <f t="shared" si="21"/>
        <v>0</v>
      </c>
      <c r="X92" s="41">
        <f t="shared" si="13"/>
        <v>0</v>
      </c>
      <c r="Y92" s="37" t="str">
        <f t="shared" si="22"/>
        <v/>
      </c>
      <c r="Z92" s="41">
        <f t="shared" si="14"/>
        <v>0</v>
      </c>
      <c r="AA92" s="39">
        <f t="shared" si="23"/>
        <v>-2684.5</v>
      </c>
      <c r="AB92" s="37" t="str">
        <f t="shared" si="24"/>
        <v/>
      </c>
      <c r="AC92" s="37" t="str">
        <f t="shared" si="25"/>
        <v/>
      </c>
      <c r="AD92" s="38">
        <f>IFERROR(INDEX('Prior YTD Data Pull'!$A$2:$CB$605,MATCH('Prior YTD Data Table'!$C92,'Prior YTD Data Pull'!$A$2:$A$605,0),MATCH("Net Patient Service Revenue",'Prior YTD Data Pull'!$A$1:$CB$1,0)),"")</f>
        <v>95646000</v>
      </c>
      <c r="AE92" s="38">
        <f>IFERROR(INDEX('Prior YTD Data Pull'!$A$2:$CB$605,MATCH('Prior YTD Data Table'!$C92,'Prior YTD Data Pull'!$A$2:$A$605,0),MATCH("Total Current Assets",'Prior YTD Data Pull'!$A$1:$CB$1,0)),"")</f>
        <v>0</v>
      </c>
      <c r="AF92" s="38">
        <f>IFERROR(INDEX('Prior YTD Data Pull'!$A$2:$CB$605,MATCH('Prior YTD Data Table'!$C92,'Prior YTD Data Pull'!$A$2:$A$605,0),MATCH("Total Current Liabilities",'Prior YTD Data Pull'!$A$1:$CB$1,0)),"")</f>
        <v>0</v>
      </c>
      <c r="AG92" s="38">
        <f>IFERROR(INDEX('Prior YTD Data Pull'!$A$2:$CB$605,MATCH('Prior YTD Data Table'!$C92,'Prior YTD Data Pull'!$A$2:$A$605,0),MATCH("Total Non Operating Revenue",'Prior YTD Data Pull'!$A$1:$CB$1,0)),"")</f>
        <v>-64000</v>
      </c>
      <c r="AH92" s="38">
        <f>IFERROR(INDEX('Prior YTD Data Pull'!$A$2:$CB$605,MATCH('Prior YTD Data Table'!$C92,'Prior Year Data Pull'!$A$2:$A$593,0),MATCH("Less Accumulated Depreciation",'Prior YTD Data Pull'!$A$1:$CB$1,0)),"")</f>
        <v>0</v>
      </c>
      <c r="AI92" s="38">
        <f>IFERROR(INDEX('Prior YTD Data Pull'!$A$2:$CB$605,MATCH('Prior YTD Data Table'!$C92,'Prior YTD Data Pull'!$A$2:$A$605,0),MATCH("Depreciation and Amortization Expense",'Prior YTD Data Pull'!$A$1:$CB$1,0)),"")</f>
        <v>1268000</v>
      </c>
      <c r="AJ92" s="38">
        <f>IFERROR(INDEX('Prior YTD Data Pull'!$A$2:$CB$605,MATCH('Prior YTD Data Table'!$C92,'Prior YTD Data Pull'!$A$2:$A$605,0),MATCH("Net Patient Accounts Receivable",'Prior YTD Data Pull'!$A$1:$CB$1,0)),"")</f>
        <v>0</v>
      </c>
      <c r="AK92" s="14" t="str">
        <f>IF('Prior YTD Data Pull'!$H91 = 6, "183", IF('Prior YTD Data Pull'!$H91 = 3, "93",""))</f>
        <v>183</v>
      </c>
      <c r="AL92" s="38">
        <f>IFERROR(INDEX('Prior YTD Data Pull'!$A$2:$CB$605,MATCH('Prior YTD Data Table'!$C92,'Prior YTD Data Pull'!$A$2:$A$605,0),MATCH("Estimated Third Party Settlements",'Prior YTD Data Pull'!$A$1:$CB$1,0)),"")</f>
        <v>0</v>
      </c>
      <c r="AM92" s="38">
        <f>IFERROR(INDEX('Prior YTD Data Pull'!$A$2:$CB$605,MATCH('Prior YTD Data Table'!$C92,'Prior YTD Data Pull'!$A$2:$A$605,0),MATCH("Current Liabilities due to Affiliates",'Prior YTD Data Pull'!$A$1:$CB$1,0)),"")</f>
        <v>0</v>
      </c>
      <c r="AN92" s="38">
        <f>IFERROR(INDEX('Prior YTD Data Pull'!$A$2:$CB$605,MATCH('Prior YTD Data Table'!$C92,'Prior YTD Data Pull'!$A$2:$A$605,0),MATCH("Short Term Investments",'Prior YTD Data Pull'!$A$1:$CB$1,0)),"")</f>
        <v>0</v>
      </c>
      <c r="AO92" s="38">
        <f>IFERROR(INDEX('Prior YTD Data Pull'!$A$2:$CB$605,MATCH('Prior YTD Data Table'!$C92,'Prior YTD Data Pull'!$A$2:$A$605,0),MATCH("Cash and Cash Equivalents",'Prior YTD Data Pull'!$A$1:$CB$1,0)),"")</f>
        <v>0</v>
      </c>
      <c r="AP92" s="38">
        <f>IFERROR(INDEX('Prior YTD Data Pull'!$A$2:$CB$605,MATCH('Prior YTD Data Table'!$C92,'Prior YTD Data Pull'!$A$2:$A$605,0),MATCH("Interest Expense",'Prior YTD Data Pull'!$A$1:$CB$1,0)),"")</f>
        <v>4000</v>
      </c>
      <c r="AQ92" s="38">
        <f>IFERROR(INDEX('Prior YTD Data Pull'!$A$2:$CB$605,MATCH('Prior YTD Data Table'!$C92,'Prior YTD Data Pull'!$A$2:$A$605,0),MATCH("Long Term Debt Net of Current Portion",'Prior YTD Data Pull'!$A$1:$CB$1,0)),"")</f>
        <v>0</v>
      </c>
      <c r="AR92" s="38">
        <f>IFERROR(INDEX('Prior YTD Data Pull'!$A$2:$CB$605,MATCH('Prior YTD Data Table'!$C92,'Prior YTD Data Pull'!$A$2:$A$605,0),MATCH("Total Assets",'Prior YTD Data Pull'!$A$1:$CB$1,0)),"")</f>
        <v>0</v>
      </c>
      <c r="AS92" s="38">
        <f>IFERROR(INDEX('Prior YTD Data Pull'!$A$2:$CB$605,MATCH('Prior YTD Data Table'!$C92,'Prior YTD Data Pull'!$A$2:$A$605,0),MATCH("Long Term Debt Net of Current Portion",'Prior YTD Data Pull'!$A$1:$CB$1,0)),"")</f>
        <v>0</v>
      </c>
      <c r="AT92" s="38">
        <f>IFERROR(INDEX('Prior YTD Data Pull'!$A$2:$CB$605,MATCH('Prior YTD Data Table'!$C92,'Prior YTD Data Pull'!$A$2:$A$605,0),MATCH("Net Unrestricted Assets",'Prior YTD Data Pull'!$A$1:$CB$1,0)),"")</f>
        <v>0</v>
      </c>
      <c r="AU92" s="38">
        <f>IFERROR(INDEX('Prior YTD Data Pull'!$A$2:$CB$605,MATCH('Prior YTD Data Table'!$C92,'Prior YTD Data Pull'!$A$2:$A$605,0),MATCH("Unrealized Gains/Losses",'Prior YTD Data Pull'!$A$1:$CB$1,0)),"")</f>
        <v>-4000</v>
      </c>
      <c r="AV92" s="38">
        <f>IFERROR(INDEX('Prior YTD Data Pull'!$A$2:$CB$605,MATCH('Prior YTD Data Table'!$C92,'Prior YTD Data Pull'!$A$2:$A$605,0),MATCH("Salary and Benefit Expense",'Prior YTD Data Pull'!$A$1:$CB$1,0)),"")</f>
        <v>110413000</v>
      </c>
      <c r="AW92" s="47"/>
      <c r="AX92" s="47"/>
      <c r="AY92" s="47"/>
      <c r="AZ92" s="47"/>
    </row>
    <row r="93" spans="1:52" ht="34.200000000000003" x14ac:dyDescent="0.3">
      <c r="A93" s="14" t="str">
        <f>IFERROR(INDEX('Static Data Tab'!$N$2:$N$610,MATCH(D93,'Static Data Tab'!$D$2:$D$610,0)), "")</f>
        <v>Beth Israel Lahey Health</v>
      </c>
      <c r="B93" s="57" t="s">
        <v>108</v>
      </c>
      <c r="C93" s="57">
        <v>11404</v>
      </c>
      <c r="D93" s="57">
        <v>16665</v>
      </c>
      <c r="E93" s="14" t="str">
        <f>IFERROR(INDEX('Prior YTD Data Pull'!$A$1:$CB$605,MATCH('Prior YTD Data Table'!$C93,'Prior YTD Data Pull'!$A$1:$A$605,0),MATCH("Organization Type",'Prior YTD Data Pull'!$A$1:$CB$1,0)),"")</f>
        <v>PhysicianOrganization</v>
      </c>
      <c r="F93" s="14" t="str">
        <f>IFERROR(INDEX('Static Data Tab'!$E$2:$E$610,MATCH('Prior YTD Data Table'!$C93,'Static Data Tab'!$B$2:$B$610,0)), "-")</f>
        <v>-</v>
      </c>
      <c r="G93" s="46" t="str">
        <f>IFERROR(INDEX('Static Data Tab'!$J$2:$J$610,MATCH('Prior YTD Data Table'!$C93,'Static Data Tab'!$B$2:$B$610,0)), "")</f>
        <v/>
      </c>
      <c r="H93" s="14" t="str">
        <f>IFERROR(INDEX('Static Data Tab'!$F$2:$F$610,MATCH('Prior YTD Data Table'!$C93,'Static Data Tab'!$B$2:$B$610,0)), "")</f>
        <v/>
      </c>
      <c r="I93" s="14" t="str">
        <f>IFERROR(INDEX('Static Data Tab'!$G$2:$G$610,MATCH('Prior YTD Data Table'!$C93,'Static Data Tab'!$B$2:$B$610,0)), "")</f>
        <v/>
      </c>
      <c r="J93" s="14" t="str">
        <f>IFERROR(INDEX('Prior YTD Data Pull'!$A$2:$CB$605,MATCH('Prior YTD Data Table'!$C93,'Prior YTD Data Pull'!$A$2:$A$605,0),MATCH("Quarter Range",'Prior YTD Data Pull'!$A$1:$CB$1,0)),"")</f>
        <v xml:space="preserve">10/01/2024-03/31/2025
</v>
      </c>
      <c r="K93" s="37">
        <f t="shared" si="15"/>
        <v>-0.27808227551498604</v>
      </c>
      <c r="L93" s="37">
        <f t="shared" si="16"/>
        <v>1.8582285702642677E-2</v>
      </c>
      <c r="M93" s="37">
        <f t="shared" si="17"/>
        <v>-0.25949998981234335</v>
      </c>
      <c r="N93" s="38">
        <f t="shared" si="18"/>
        <v>-12736000</v>
      </c>
      <c r="O93" s="39" t="str">
        <f t="shared" si="19"/>
        <v/>
      </c>
      <c r="P93" s="38">
        <f>IFERROR(INDEX('Prior YTD Data Pull'!$A$2:$CB$605,MATCH('Prior YTD Data Table'!$C93,'Prior YTD Data Pull'!$A$2:$A$605,0),MATCH("Total Net Assets or Equity",'Prior YTD Data Pull'!$A$1:$CB$1,0)),"")</f>
        <v>0</v>
      </c>
      <c r="Q93" s="38">
        <f>IFERROR(INDEX('Prior YTD Data Pull'!$A$2:$CB$605,MATCH('Prior YTD Data Table'!$C93,'Prior YTD Data Pull'!$A$2:$A$605,0),MATCH("Total Operating Revenue",'Prior YTD Data Pull'!$A$1:$CB$1,0)),"")</f>
        <v>48167000</v>
      </c>
      <c r="R93" s="38">
        <f>IFERROR(INDEX('Prior YTD Data Pull'!$A$2:$CB$605,MATCH('Prior YTD Data Table'!$C93,'Prior YTD Data Pull'!$A$2:$A$605,0),MATCH("Total Unrestricted Revenue Gains and Other Support",'Prior YTD Data Pull'!$A$1:$CB$1,0)),"")</f>
        <v>49079000</v>
      </c>
      <c r="S93" s="38">
        <f>IFERROR(INDEX('Prior YTD TS Data Pull'!$J$2:$J$128,MATCH('Prior YTD Data Table'!$C93, 'Prior YTD TS Data Pull'!$A$2:$A$128,0))+INDEX('Prior YTD TS Data Pull'!$N$2:$N$128,MATCH('Prior YTD Data Table'!$C93,'Prior YTD TS Data Pull'!$A$2:$A$609,0))+INDEX('Prior YTD TS Data Pull'!$R$2:$R$128,MATCH('Prior YTD Data Table'!$C93,'Prior YTD TS Data Pull'!$A$2:$A$609,0)),"")</f>
        <v>0</v>
      </c>
      <c r="T93" s="38">
        <f>IF(INDEX('Prior YTD TS Data Pull'!$A$1:$O$609,MATCH('Prior YTD Data Table'!$C93,'Prior YTD TS Data Pull'!$A$1:$A$609,0),MATCH("Temporary RN Staffing:
Line Reported on in Standardized Financials",'Prior YTD TS Data Pull'!$A$1:$O$1,0))="66.1: Salary and Benefit Expense",'Prior YTD Data Table'!$AV93-'Prior YTD Data Table'!$S93,0)</f>
        <v>33223000</v>
      </c>
      <c r="U93" s="38">
        <f>IFERROR(INDEX('Prior YTD Data Pull'!$A$2:$CB$605,MATCH('Prior YTD Data Table'!$C93,'Prior YTD Data Pull'!$A$2:$A$605,0),MATCH("Total Expenses Including Nonrecurring Gains Losses",'Prior YTD Data Pull'!$A$1:$CB$1,0)),"")</f>
        <v>61815000</v>
      </c>
      <c r="V93" s="41">
        <f t="shared" si="20"/>
        <v>0</v>
      </c>
      <c r="W93" s="41">
        <f t="shared" si="21"/>
        <v>0</v>
      </c>
      <c r="X93" s="41">
        <f t="shared" si="13"/>
        <v>0</v>
      </c>
      <c r="Y93" s="37" t="str">
        <f t="shared" si="22"/>
        <v/>
      </c>
      <c r="Z93" s="41">
        <f t="shared" si="14"/>
        <v>0</v>
      </c>
      <c r="AA93" s="39" t="str">
        <f t="shared" si="23"/>
        <v/>
      </c>
      <c r="AB93" s="37" t="str">
        <f t="shared" si="24"/>
        <v/>
      </c>
      <c r="AC93" s="37" t="str">
        <f t="shared" si="25"/>
        <v/>
      </c>
      <c r="AD93" s="38">
        <f>IFERROR(INDEX('Prior YTD Data Pull'!$A$2:$CB$605,MATCH('Prior YTD Data Table'!$C93,'Prior YTD Data Pull'!$A$2:$A$605,0),MATCH("Net Patient Service Revenue",'Prior YTD Data Pull'!$A$1:$CB$1,0)),"")</f>
        <v>41470000</v>
      </c>
      <c r="AE93" s="38">
        <f>IFERROR(INDEX('Prior YTD Data Pull'!$A$2:$CB$605,MATCH('Prior YTD Data Table'!$C93,'Prior YTD Data Pull'!$A$2:$A$605,0),MATCH("Total Current Assets",'Prior YTD Data Pull'!$A$1:$CB$1,0)),"")</f>
        <v>0</v>
      </c>
      <c r="AF93" s="38">
        <f>IFERROR(INDEX('Prior YTD Data Pull'!$A$2:$CB$605,MATCH('Prior YTD Data Table'!$C93,'Prior YTD Data Pull'!$A$2:$A$605,0),MATCH("Total Current Liabilities",'Prior YTD Data Pull'!$A$1:$CB$1,0)),"")</f>
        <v>0</v>
      </c>
      <c r="AG93" s="38">
        <f>IFERROR(INDEX('Prior YTD Data Pull'!$A$2:$CB$605,MATCH('Prior YTD Data Table'!$C93,'Prior YTD Data Pull'!$A$2:$A$605,0),MATCH("Total Non Operating Revenue",'Prior YTD Data Pull'!$A$1:$CB$1,0)),"")</f>
        <v>912000</v>
      </c>
      <c r="AH93" s="38">
        <f>IFERROR(INDEX('Prior YTD Data Pull'!$A$2:$CB$605,MATCH('Prior YTD Data Table'!$C93,'Prior Year Data Pull'!$A$2:$A$593,0),MATCH("Less Accumulated Depreciation",'Prior YTD Data Pull'!$A$1:$CB$1,0)),"")</f>
        <v>0</v>
      </c>
      <c r="AI93" s="38">
        <f>IFERROR(INDEX('Prior YTD Data Pull'!$A$2:$CB$605,MATCH('Prior YTD Data Table'!$C93,'Prior YTD Data Pull'!$A$2:$A$605,0),MATCH("Depreciation and Amortization Expense",'Prior YTD Data Pull'!$A$1:$CB$1,0)),"")</f>
        <v>649000</v>
      </c>
      <c r="AJ93" s="38">
        <f>IFERROR(INDEX('Prior YTD Data Pull'!$A$2:$CB$605,MATCH('Prior YTD Data Table'!$C93,'Prior YTD Data Pull'!$A$2:$A$605,0),MATCH("Net Patient Accounts Receivable",'Prior YTD Data Pull'!$A$1:$CB$1,0)),"")</f>
        <v>0</v>
      </c>
      <c r="AK93" s="14" t="str">
        <f>IF('Prior YTD Data Pull'!$H92 = 6, "183", IF('Prior YTD Data Pull'!$H92 = 3, "93",""))</f>
        <v>183</v>
      </c>
      <c r="AL93" s="38">
        <f>IFERROR(INDEX('Prior YTD Data Pull'!$A$2:$CB$605,MATCH('Prior YTD Data Table'!$C93,'Prior YTD Data Pull'!$A$2:$A$605,0),MATCH("Estimated Third Party Settlements",'Prior YTD Data Pull'!$A$1:$CB$1,0)),"")</f>
        <v>0</v>
      </c>
      <c r="AM93" s="38">
        <f>IFERROR(INDEX('Prior YTD Data Pull'!$A$2:$CB$605,MATCH('Prior YTD Data Table'!$C93,'Prior YTD Data Pull'!$A$2:$A$605,0),MATCH("Current Liabilities due to Affiliates",'Prior YTD Data Pull'!$A$1:$CB$1,0)),"")</f>
        <v>0</v>
      </c>
      <c r="AN93" s="38">
        <f>IFERROR(INDEX('Prior YTD Data Pull'!$A$2:$CB$605,MATCH('Prior YTD Data Table'!$C93,'Prior YTD Data Pull'!$A$2:$A$605,0),MATCH("Short Term Investments",'Prior YTD Data Pull'!$A$1:$CB$1,0)),"")</f>
        <v>0</v>
      </c>
      <c r="AO93" s="38">
        <f>IFERROR(INDEX('Prior YTD Data Pull'!$A$2:$CB$605,MATCH('Prior YTD Data Table'!$C93,'Prior YTD Data Pull'!$A$2:$A$605,0),MATCH("Cash and Cash Equivalents",'Prior YTD Data Pull'!$A$1:$CB$1,0)),"")</f>
        <v>0</v>
      </c>
      <c r="AP93" s="38">
        <f>IFERROR(INDEX('Prior YTD Data Pull'!$A$2:$CB$605,MATCH('Prior YTD Data Table'!$C93,'Prior YTD Data Pull'!$A$2:$A$605,0),MATCH("Interest Expense",'Prior YTD Data Pull'!$A$1:$CB$1,0)),"")</f>
        <v>0</v>
      </c>
      <c r="AQ93" s="38">
        <f>IFERROR(INDEX('Prior YTD Data Pull'!$A$2:$CB$605,MATCH('Prior YTD Data Table'!$C93,'Prior YTD Data Pull'!$A$2:$A$605,0),MATCH("Long Term Debt Net of Current Portion",'Prior YTD Data Pull'!$A$1:$CB$1,0)),"")</f>
        <v>0</v>
      </c>
      <c r="AR93" s="38">
        <f>IFERROR(INDEX('Prior YTD Data Pull'!$A$2:$CB$605,MATCH('Prior YTD Data Table'!$C93,'Prior YTD Data Pull'!$A$2:$A$605,0),MATCH("Total Assets",'Prior YTD Data Pull'!$A$1:$CB$1,0)),"")</f>
        <v>0</v>
      </c>
      <c r="AS93" s="38">
        <f>IFERROR(INDEX('Prior YTD Data Pull'!$A$2:$CB$605,MATCH('Prior YTD Data Table'!$C93,'Prior YTD Data Pull'!$A$2:$A$605,0),MATCH("Long Term Debt Net of Current Portion",'Prior YTD Data Pull'!$A$1:$CB$1,0)),"")</f>
        <v>0</v>
      </c>
      <c r="AT93" s="38">
        <f>IFERROR(INDEX('Prior YTD Data Pull'!$A$2:$CB$605,MATCH('Prior YTD Data Table'!$C93,'Prior YTD Data Pull'!$A$2:$A$605,0),MATCH("Net Unrestricted Assets",'Prior YTD Data Pull'!$A$1:$CB$1,0)),"")</f>
        <v>0</v>
      </c>
      <c r="AU93" s="38">
        <f>IFERROR(INDEX('Prior YTD Data Pull'!$A$2:$CB$605,MATCH('Prior YTD Data Table'!$C93,'Prior YTD Data Pull'!$A$2:$A$605,0),MATCH("Unrealized Gains/Losses",'Prior YTD Data Pull'!$A$1:$CB$1,0)),"")</f>
        <v>0</v>
      </c>
      <c r="AV93" s="38">
        <f>IFERROR(INDEX('Prior YTD Data Pull'!$A$2:$CB$605,MATCH('Prior YTD Data Table'!$C93,'Prior YTD Data Pull'!$A$2:$A$605,0),MATCH("Salary and Benefit Expense",'Prior YTD Data Pull'!$A$1:$CB$1,0)),"")</f>
        <v>33223000</v>
      </c>
      <c r="AW93" s="38"/>
      <c r="AX93" s="38"/>
      <c r="AY93" s="38"/>
      <c r="AZ93" s="38"/>
    </row>
    <row r="94" spans="1:52" ht="34.200000000000003" x14ac:dyDescent="0.3">
      <c r="A94" s="14" t="str">
        <f>IFERROR(INDEX('Static Data Tab'!$N$2:$N$610,MATCH(D94,'Static Data Tab'!$D$2:$D$610,0)), "")</f>
        <v>Mass General Brigham</v>
      </c>
      <c r="B94" s="14" t="s">
        <v>156</v>
      </c>
      <c r="C94" s="14">
        <v>8644</v>
      </c>
      <c r="D94" s="14">
        <v>3791</v>
      </c>
      <c r="E94" s="14" t="str">
        <f>IFERROR(INDEX('Prior YTD Data Pull'!$A$1:$CB$605,MATCH('Prior YTD Data Table'!$C94,'Prior YTD Data Pull'!$A$1:$A$605,0),MATCH("Organization Type",'Prior YTD Data Pull'!$A$1:$CB$1,0)),"")</f>
        <v>PhysicianOrganization</v>
      </c>
      <c r="F94" s="14" t="str">
        <f>IFERROR(INDEX('Static Data Tab'!$E$2:$E$610,MATCH('Prior YTD Data Table'!$C94,'Static Data Tab'!$B$2:$B$610,0)), "-")</f>
        <v>-</v>
      </c>
      <c r="G94" s="46" t="str">
        <f>IFERROR(INDEX('Static Data Tab'!$J$2:$J$610,MATCH('Prior YTD Data Table'!$C94,'Static Data Tab'!$B$2:$B$610,0)), "")</f>
        <v/>
      </c>
      <c r="H94" s="14" t="str">
        <f>IFERROR(INDEX('Static Data Tab'!$F$2:$F$610,MATCH('Prior YTD Data Table'!$C94,'Static Data Tab'!$B$2:$B$610,0)), "")</f>
        <v/>
      </c>
      <c r="I94" s="14" t="str">
        <f>IFERROR(INDEX('Static Data Tab'!$G$2:$G$610,MATCH('Prior YTD Data Table'!$C94,'Static Data Tab'!$B$2:$B$610,0)), "")</f>
        <v/>
      </c>
      <c r="J94" s="14" t="str">
        <f>IFERROR(INDEX('Prior YTD Data Pull'!$A$2:$CB$605,MATCH('Prior YTD Data Table'!$C94,'Prior YTD Data Pull'!$A$2:$A$605,0),MATCH("Quarter Range",'Prior YTD Data Pull'!$A$1:$CB$1,0)),"")</f>
        <v xml:space="preserve">10/01/2024-03/31/2025
</v>
      </c>
      <c r="K94" s="37">
        <f t="shared" si="15"/>
        <v>-0.14344663483983675</v>
      </c>
      <c r="L94" s="37">
        <f t="shared" si="16"/>
        <v>1.82226171292601E-3</v>
      </c>
      <c r="M94" s="37">
        <f t="shared" si="17"/>
        <v>-0.14162437312691073</v>
      </c>
      <c r="N94" s="38">
        <f t="shared" si="18"/>
        <v>-9404000</v>
      </c>
      <c r="O94" s="39" t="str">
        <f t="shared" si="19"/>
        <v/>
      </c>
      <c r="P94" s="38">
        <f>IFERROR(INDEX('Prior YTD Data Pull'!$A$2:$CB$605,MATCH('Prior YTD Data Table'!$C94,'Prior YTD Data Pull'!$A$2:$A$605,0),MATCH("Total Net Assets or Equity",'Prior YTD Data Pull'!$A$1:$CB$1,0)),"")</f>
        <v>0</v>
      </c>
      <c r="Q94" s="38">
        <f>IFERROR(INDEX('Prior YTD Data Pull'!$A$2:$CB$605,MATCH('Prior YTD Data Table'!$C94,'Prior YTD Data Pull'!$A$2:$A$605,0),MATCH("Total Operating Revenue",'Prior YTD Data Pull'!$A$1:$CB$1,0)),"")</f>
        <v>66280000</v>
      </c>
      <c r="R94" s="38">
        <f>IFERROR(INDEX('Prior YTD Data Pull'!$A$2:$CB$605,MATCH('Prior YTD Data Table'!$C94,'Prior YTD Data Pull'!$A$2:$A$605,0),MATCH("Total Unrestricted Revenue Gains and Other Support",'Prior YTD Data Pull'!$A$1:$CB$1,0)),"")</f>
        <v>66401000</v>
      </c>
      <c r="S94" s="38">
        <f>IFERROR(INDEX('Prior YTD TS Data Pull'!$J$2:$J$128,MATCH('Prior YTD Data Table'!$C94, 'Prior YTD TS Data Pull'!$A$2:$A$128,0))+INDEX('Prior YTD TS Data Pull'!$N$2:$N$128,MATCH('Prior YTD Data Table'!$C94,'Prior YTD TS Data Pull'!$A$2:$A$609,0))+INDEX('Prior YTD TS Data Pull'!$R$2:$R$128,MATCH('Prior YTD Data Table'!$C94,'Prior YTD TS Data Pull'!$A$2:$A$609,0)),"")</f>
        <v>121510.66</v>
      </c>
      <c r="T94" s="38">
        <f>IF(INDEX('Prior YTD TS Data Pull'!$A$1:$O$609,MATCH('Prior YTD Data Table'!$C94,'Prior YTD TS Data Pull'!$A$1:$A$609,0),MATCH("Temporary RN Staffing:
Line Reported on in Standardized Financials",'Prior YTD TS Data Pull'!$A$1:$O$1,0))="66.1: Salary and Benefit Expense",'Prior YTD Data Table'!$AV94-'Prior YTD Data Table'!$S94,0)</f>
        <v>0</v>
      </c>
      <c r="U94" s="38">
        <f>IFERROR(INDEX('Prior YTD Data Pull'!$A$2:$CB$605,MATCH('Prior YTD Data Table'!$C94,'Prior YTD Data Pull'!$A$2:$A$605,0),MATCH("Total Expenses Including Nonrecurring Gains Losses",'Prior YTD Data Pull'!$A$1:$CB$1,0)),"")</f>
        <v>75805000</v>
      </c>
      <c r="V94" s="41">
        <f t="shared" si="20"/>
        <v>1886.5649794801641</v>
      </c>
      <c r="W94" s="41" t="str">
        <f t="shared" si="21"/>
        <v/>
      </c>
      <c r="X94" s="41" t="str">
        <f t="shared" si="13"/>
        <v/>
      </c>
      <c r="Y94" s="37" t="str">
        <f t="shared" si="22"/>
        <v/>
      </c>
      <c r="Z94" s="41" t="str">
        <f t="shared" si="14"/>
        <v/>
      </c>
      <c r="AA94" s="39" t="str">
        <f t="shared" si="23"/>
        <v/>
      </c>
      <c r="AB94" s="37" t="str">
        <f t="shared" si="24"/>
        <v/>
      </c>
      <c r="AC94" s="37" t="str">
        <f t="shared" si="25"/>
        <v/>
      </c>
      <c r="AD94" s="38">
        <f>IFERROR(INDEX('Prior YTD Data Pull'!$A$2:$CB$605,MATCH('Prior YTD Data Table'!$C94,'Prior YTD Data Pull'!$A$2:$A$605,0),MATCH("Net Patient Service Revenue",'Prior YTD Data Pull'!$A$1:$CB$1,0)),"")</f>
        <v>47890000</v>
      </c>
      <c r="AE94" s="38">
        <f>IFERROR(INDEX('Prior YTD Data Pull'!$A$2:$CB$605,MATCH('Prior YTD Data Table'!$C94,'Prior YTD Data Pull'!$A$2:$A$605,0),MATCH("Total Current Assets",'Prior YTD Data Pull'!$A$1:$CB$1,0)),"")</f>
        <v>0</v>
      </c>
      <c r="AF94" s="38">
        <f>IFERROR(INDEX('Prior YTD Data Pull'!$A$2:$CB$605,MATCH('Prior YTD Data Table'!$C94,'Prior YTD Data Pull'!$A$2:$A$605,0),MATCH("Total Current Liabilities",'Prior YTD Data Pull'!$A$1:$CB$1,0)),"")</f>
        <v>0</v>
      </c>
      <c r="AG94" s="38">
        <f>IFERROR(INDEX('Prior YTD Data Pull'!$A$2:$CB$605,MATCH('Prior YTD Data Table'!$C94,'Prior YTD Data Pull'!$A$2:$A$605,0),MATCH("Total Non Operating Revenue",'Prior YTD Data Pull'!$A$1:$CB$1,0)),"")</f>
        <v>121000</v>
      </c>
      <c r="AH94" s="38">
        <f>IFERROR(INDEX('Prior YTD Data Pull'!$A$2:$CB$605,MATCH('Prior YTD Data Table'!$C94,'Prior Year Data Pull'!$A$2:$A$593,0),MATCH("Less Accumulated Depreciation",'Prior YTD Data Pull'!$A$1:$CB$1,0)),"")</f>
        <v>1379079000</v>
      </c>
      <c r="AI94" s="38">
        <f>IFERROR(INDEX('Prior YTD Data Pull'!$A$2:$CB$605,MATCH('Prior YTD Data Table'!$C94,'Prior YTD Data Pull'!$A$2:$A$605,0),MATCH("Depreciation and Amortization Expense",'Prior YTD Data Pull'!$A$1:$CB$1,0)),"")</f>
        <v>731000</v>
      </c>
      <c r="AJ94" s="38">
        <f>IFERROR(INDEX('Prior YTD Data Pull'!$A$2:$CB$605,MATCH('Prior YTD Data Table'!$C94,'Prior YTD Data Pull'!$A$2:$A$605,0),MATCH("Net Patient Accounts Receivable",'Prior YTD Data Pull'!$A$1:$CB$1,0)),"")</f>
        <v>0</v>
      </c>
      <c r="AK94" s="14" t="str">
        <f>IF('Prior YTD Data Pull'!$H93 = 6, "183", IF('Prior YTD Data Pull'!$H93 = 3, "93",""))</f>
        <v/>
      </c>
      <c r="AL94" s="38">
        <f>IFERROR(INDEX('Prior YTD Data Pull'!$A$2:$CB$605,MATCH('Prior YTD Data Table'!$C94,'Prior YTD Data Pull'!$A$2:$A$605,0),MATCH("Estimated Third Party Settlements",'Prior YTD Data Pull'!$A$1:$CB$1,0)),"")</f>
        <v>0</v>
      </c>
      <c r="AM94" s="38">
        <f>IFERROR(INDEX('Prior YTD Data Pull'!$A$2:$CB$605,MATCH('Prior YTD Data Table'!$C94,'Prior YTD Data Pull'!$A$2:$A$605,0),MATCH("Current Liabilities due to Affiliates",'Prior YTD Data Pull'!$A$1:$CB$1,0)),"")</f>
        <v>0</v>
      </c>
      <c r="AN94" s="38">
        <f>IFERROR(INDEX('Prior YTD Data Pull'!$A$2:$CB$605,MATCH('Prior YTD Data Table'!$C94,'Prior YTD Data Pull'!$A$2:$A$605,0),MATCH("Short Term Investments",'Prior YTD Data Pull'!$A$1:$CB$1,0)),"")</f>
        <v>0</v>
      </c>
      <c r="AO94" s="38">
        <f>IFERROR(INDEX('Prior YTD Data Pull'!$A$2:$CB$605,MATCH('Prior YTD Data Table'!$C94,'Prior YTD Data Pull'!$A$2:$A$605,0),MATCH("Cash and Cash Equivalents",'Prior YTD Data Pull'!$A$1:$CB$1,0)),"")</f>
        <v>0</v>
      </c>
      <c r="AP94" s="38">
        <f>IFERROR(INDEX('Prior YTD Data Pull'!$A$2:$CB$605,MATCH('Prior YTD Data Table'!$C94,'Prior YTD Data Pull'!$A$2:$A$605,0),MATCH("Interest Expense",'Prior YTD Data Pull'!$A$1:$CB$1,0)),"")</f>
        <v>0</v>
      </c>
      <c r="AQ94" s="38">
        <f>IFERROR(INDEX('Prior YTD Data Pull'!$A$2:$CB$605,MATCH('Prior YTD Data Table'!$C94,'Prior YTD Data Pull'!$A$2:$A$605,0),MATCH("Long Term Debt Net of Current Portion",'Prior YTD Data Pull'!$A$1:$CB$1,0)),"")</f>
        <v>0</v>
      </c>
      <c r="AR94" s="38">
        <f>IFERROR(INDEX('Prior YTD Data Pull'!$A$2:$CB$605,MATCH('Prior YTD Data Table'!$C94,'Prior YTD Data Pull'!$A$2:$A$605,0),MATCH("Total Assets",'Prior YTD Data Pull'!$A$1:$CB$1,0)),"")</f>
        <v>0</v>
      </c>
      <c r="AS94" s="38">
        <f>IFERROR(INDEX('Prior YTD Data Pull'!$A$2:$CB$605,MATCH('Prior YTD Data Table'!$C94,'Prior YTD Data Pull'!$A$2:$A$605,0),MATCH("Long Term Debt Net of Current Portion",'Prior YTD Data Pull'!$A$1:$CB$1,0)),"")</f>
        <v>0</v>
      </c>
      <c r="AT94" s="38">
        <f>IFERROR(INDEX('Prior YTD Data Pull'!$A$2:$CB$605,MATCH('Prior YTD Data Table'!$C94,'Prior YTD Data Pull'!$A$2:$A$605,0),MATCH("Net Unrestricted Assets",'Prior YTD Data Pull'!$A$1:$CB$1,0)),"")</f>
        <v>0</v>
      </c>
      <c r="AU94" s="38">
        <f>IFERROR(INDEX('Prior YTD Data Pull'!$A$2:$CB$605,MATCH('Prior YTD Data Table'!$C94,'Prior YTD Data Pull'!$A$2:$A$605,0),MATCH("Unrealized Gains/Losses",'Prior YTD Data Pull'!$A$1:$CB$1,0)),"")</f>
        <v>0</v>
      </c>
      <c r="AV94" s="38">
        <f>IFERROR(INDEX('Prior YTD Data Pull'!$A$2:$CB$605,MATCH('Prior YTD Data Table'!$C94,'Prior YTD Data Pull'!$A$2:$A$605,0),MATCH("Salary and Benefit Expense",'Prior YTD Data Pull'!$A$1:$CB$1,0)),"")</f>
        <v>57514000</v>
      </c>
      <c r="AW94" s="47"/>
      <c r="AX94" s="47"/>
      <c r="AY94" s="47"/>
      <c r="AZ94" s="47"/>
    </row>
    <row r="95" spans="1:52" ht="34.200000000000003" x14ac:dyDescent="0.3">
      <c r="A95" s="14" t="str">
        <f>IFERROR(INDEX('Static Data Tab'!$N$2:$N$610,MATCH(D95,'Static Data Tab'!$D$2:$D$610,0)), "")</f>
        <v>Beth Israel Lahey Health</v>
      </c>
      <c r="B95" s="57" t="s">
        <v>103</v>
      </c>
      <c r="C95" s="57">
        <v>11761</v>
      </c>
      <c r="D95" s="57">
        <v>16665</v>
      </c>
      <c r="E95" s="14" t="str">
        <f>IFERROR(INDEX('Prior YTD Data Pull'!$A$1:$CB$605,MATCH('Prior YTD Data Table'!$C95,'Prior YTD Data Pull'!$A$1:$A$605,0),MATCH("Organization Type",'Prior YTD Data Pull'!$A$1:$CB$1,0)),"")</f>
        <v>PhysicianOrganization</v>
      </c>
      <c r="F95" s="14" t="str">
        <f>IFERROR(INDEX('Static Data Tab'!$E$2:$E$610,MATCH('Prior YTD Data Table'!$C95,'Static Data Tab'!$B$2:$B$610,0)), "-")</f>
        <v>-</v>
      </c>
      <c r="G95" s="46" t="str">
        <f>IFERROR(INDEX('Static Data Tab'!$J$2:$J$610,MATCH('Prior YTD Data Table'!$C95,'Static Data Tab'!$B$2:$B$610,0)), "")</f>
        <v/>
      </c>
      <c r="H95" s="14" t="str">
        <f>IFERROR(INDEX('Static Data Tab'!$F$2:$F$610,MATCH('Prior YTD Data Table'!$C95,'Static Data Tab'!$B$2:$B$610,0)), "")</f>
        <v/>
      </c>
      <c r="I95" s="14" t="str">
        <f>IFERROR(INDEX('Static Data Tab'!$G$2:$G$610,MATCH('Prior YTD Data Table'!$C95,'Static Data Tab'!$B$2:$B$610,0)), "")</f>
        <v/>
      </c>
      <c r="J95" s="14" t="str">
        <f>IFERROR(INDEX('Prior YTD Data Pull'!$A$2:$CB$605,MATCH('Prior YTD Data Table'!$C95,'Prior YTD Data Pull'!$A$2:$A$605,0),MATCH("Quarter Range",'Prior YTD Data Pull'!$A$1:$CB$1,0)),"")</f>
        <v xml:space="preserve">10/01/2024-03/31/2025
</v>
      </c>
      <c r="K95" s="37">
        <f t="shared" si="15"/>
        <v>-3.411578947368421</v>
      </c>
      <c r="L95" s="37">
        <f t="shared" si="16"/>
        <v>0</v>
      </c>
      <c r="M95" s="37">
        <f t="shared" si="17"/>
        <v>-3.411578947368421</v>
      </c>
      <c r="N95" s="38">
        <f t="shared" si="18"/>
        <v>-3241000</v>
      </c>
      <c r="O95" s="39" t="str">
        <f t="shared" si="19"/>
        <v/>
      </c>
      <c r="P95" s="38">
        <f>IFERROR(INDEX('Prior YTD Data Pull'!$A$2:$CB$605,MATCH('Prior YTD Data Table'!$C95,'Prior YTD Data Pull'!$A$2:$A$605,0),MATCH("Total Net Assets or Equity",'Prior YTD Data Pull'!$A$1:$CB$1,0)),"")</f>
        <v>0</v>
      </c>
      <c r="Q95" s="38">
        <f>IFERROR(INDEX('Prior YTD Data Pull'!$A$2:$CB$605,MATCH('Prior YTD Data Table'!$C95,'Prior YTD Data Pull'!$A$2:$A$605,0),MATCH("Total Operating Revenue",'Prior YTD Data Pull'!$A$1:$CB$1,0)),"")</f>
        <v>950000</v>
      </c>
      <c r="R95" s="38">
        <f>IFERROR(INDEX('Prior YTD Data Pull'!$A$2:$CB$605,MATCH('Prior YTD Data Table'!$C95,'Prior YTD Data Pull'!$A$2:$A$605,0),MATCH("Total Unrestricted Revenue Gains and Other Support",'Prior YTD Data Pull'!$A$1:$CB$1,0)),"")</f>
        <v>950000</v>
      </c>
      <c r="S95" s="38">
        <f>IFERROR(INDEX('Prior YTD TS Data Pull'!$J$2:$J$128,MATCH('Prior YTD Data Table'!$C95, 'Prior YTD TS Data Pull'!$A$2:$A$128,0))+INDEX('Prior YTD TS Data Pull'!$N$2:$N$128,MATCH('Prior YTD Data Table'!$C95,'Prior YTD TS Data Pull'!$A$2:$A$609,0))+INDEX('Prior YTD TS Data Pull'!$R$2:$R$128,MATCH('Prior YTD Data Table'!$C95,'Prior YTD TS Data Pull'!$A$2:$A$609,0)),"")</f>
        <v>262553</v>
      </c>
      <c r="T95" s="38">
        <f>IF(INDEX('Prior YTD TS Data Pull'!$A$1:$O$609,MATCH('Prior YTD Data Table'!$C95,'Prior YTD TS Data Pull'!$A$1:$A$609,0),MATCH("Temporary RN Staffing:
Line Reported on in Standardized Financials",'Prior YTD TS Data Pull'!$A$1:$O$1,0))="66.1: Salary and Benefit Expense",'Prior YTD Data Table'!$AV95-'Prior YTD Data Table'!$S95,0)</f>
        <v>3124447</v>
      </c>
      <c r="U95" s="38">
        <f>IFERROR(INDEX('Prior YTD Data Pull'!$A$2:$CB$605,MATCH('Prior YTD Data Table'!$C95,'Prior YTD Data Pull'!$A$2:$A$605,0),MATCH("Total Expenses Including Nonrecurring Gains Losses",'Prior YTD Data Pull'!$A$1:$CB$1,0)),"")</f>
        <v>4191000</v>
      </c>
      <c r="V95" s="41">
        <f t="shared" si="20"/>
        <v>1596.4814814814815</v>
      </c>
      <c r="W95" s="41">
        <f t="shared" si="21"/>
        <v>0</v>
      </c>
      <c r="X95" s="41">
        <f t="shared" si="13"/>
        <v>0</v>
      </c>
      <c r="Y95" s="37" t="str">
        <f t="shared" si="22"/>
        <v/>
      </c>
      <c r="Z95" s="41">
        <f t="shared" si="14"/>
        <v>0</v>
      </c>
      <c r="AA95" s="39" t="str">
        <f t="shared" si="23"/>
        <v/>
      </c>
      <c r="AB95" s="37" t="str">
        <f t="shared" si="24"/>
        <v/>
      </c>
      <c r="AC95" s="37" t="str">
        <f t="shared" si="25"/>
        <v/>
      </c>
      <c r="AD95" s="38">
        <f>IFERROR(INDEX('Prior YTD Data Pull'!$A$2:$CB$605,MATCH('Prior YTD Data Table'!$C95,'Prior YTD Data Pull'!$A$2:$A$605,0),MATCH("Net Patient Service Revenue",'Prior YTD Data Pull'!$A$1:$CB$1,0)),"")</f>
        <v>888000</v>
      </c>
      <c r="AE95" s="38">
        <f>IFERROR(INDEX('Prior YTD Data Pull'!$A$2:$CB$605,MATCH('Prior YTD Data Table'!$C95,'Prior YTD Data Pull'!$A$2:$A$605,0),MATCH("Total Current Assets",'Prior YTD Data Pull'!$A$1:$CB$1,0)),"")</f>
        <v>0</v>
      </c>
      <c r="AF95" s="38">
        <f>IFERROR(INDEX('Prior YTD Data Pull'!$A$2:$CB$605,MATCH('Prior YTD Data Table'!$C95,'Prior YTD Data Pull'!$A$2:$A$605,0),MATCH("Total Current Liabilities",'Prior YTD Data Pull'!$A$1:$CB$1,0)),"")</f>
        <v>0</v>
      </c>
      <c r="AG95" s="38">
        <f>IFERROR(INDEX('Prior YTD Data Pull'!$A$2:$CB$605,MATCH('Prior YTD Data Table'!$C95,'Prior YTD Data Pull'!$A$2:$A$605,0),MATCH("Total Non Operating Revenue",'Prior YTD Data Pull'!$A$1:$CB$1,0)),"")</f>
        <v>0</v>
      </c>
      <c r="AH95" s="38">
        <f>IFERROR(INDEX('Prior YTD Data Pull'!$A$2:$CB$605,MATCH('Prior YTD Data Table'!$C95,'Prior Year Data Pull'!$A$2:$A$593,0),MATCH("Less Accumulated Depreciation",'Prior YTD Data Pull'!$A$1:$CB$1,0)),"")</f>
        <v>43105000</v>
      </c>
      <c r="AI95" s="38">
        <f>IFERROR(INDEX('Prior YTD Data Pull'!$A$2:$CB$605,MATCH('Prior YTD Data Table'!$C95,'Prior YTD Data Pull'!$A$2:$A$605,0),MATCH("Depreciation and Amortization Expense",'Prior YTD Data Pull'!$A$1:$CB$1,0)),"")</f>
        <v>27000</v>
      </c>
      <c r="AJ95" s="38">
        <f>IFERROR(INDEX('Prior YTD Data Pull'!$A$2:$CB$605,MATCH('Prior YTD Data Table'!$C95,'Prior YTD Data Pull'!$A$2:$A$605,0),MATCH("Net Patient Accounts Receivable",'Prior YTD Data Pull'!$A$1:$CB$1,0)),"")</f>
        <v>0</v>
      </c>
      <c r="AK95" s="14" t="str">
        <f>IF('Prior YTD Data Pull'!$H94 = 6, "183", IF('Prior YTD Data Pull'!$H94 = 3, "93",""))</f>
        <v>183</v>
      </c>
      <c r="AL95" s="38">
        <f>IFERROR(INDEX('Prior YTD Data Pull'!$A$2:$CB$605,MATCH('Prior YTD Data Table'!$C95,'Prior YTD Data Pull'!$A$2:$A$605,0),MATCH("Estimated Third Party Settlements",'Prior YTD Data Pull'!$A$1:$CB$1,0)),"")</f>
        <v>0</v>
      </c>
      <c r="AM95" s="38">
        <f>IFERROR(INDEX('Prior YTD Data Pull'!$A$2:$CB$605,MATCH('Prior YTD Data Table'!$C95,'Prior YTD Data Pull'!$A$2:$A$605,0),MATCH("Current Liabilities due to Affiliates",'Prior YTD Data Pull'!$A$1:$CB$1,0)),"")</f>
        <v>0</v>
      </c>
      <c r="AN95" s="38">
        <f>IFERROR(INDEX('Prior YTD Data Pull'!$A$2:$CB$605,MATCH('Prior YTD Data Table'!$C95,'Prior YTD Data Pull'!$A$2:$A$605,0),MATCH("Short Term Investments",'Prior YTD Data Pull'!$A$1:$CB$1,0)),"")</f>
        <v>0</v>
      </c>
      <c r="AO95" s="38">
        <f>IFERROR(INDEX('Prior YTD Data Pull'!$A$2:$CB$605,MATCH('Prior YTD Data Table'!$C95,'Prior YTD Data Pull'!$A$2:$A$605,0),MATCH("Cash and Cash Equivalents",'Prior YTD Data Pull'!$A$1:$CB$1,0)),"")</f>
        <v>0</v>
      </c>
      <c r="AP95" s="38">
        <f>IFERROR(INDEX('Prior YTD Data Pull'!$A$2:$CB$605,MATCH('Prior YTD Data Table'!$C95,'Prior YTD Data Pull'!$A$2:$A$605,0),MATCH("Interest Expense",'Prior YTD Data Pull'!$A$1:$CB$1,0)),"")</f>
        <v>0</v>
      </c>
      <c r="AQ95" s="38">
        <f>IFERROR(INDEX('Prior YTD Data Pull'!$A$2:$CB$605,MATCH('Prior YTD Data Table'!$C95,'Prior YTD Data Pull'!$A$2:$A$605,0),MATCH("Long Term Debt Net of Current Portion",'Prior YTD Data Pull'!$A$1:$CB$1,0)),"")</f>
        <v>0</v>
      </c>
      <c r="AR95" s="38">
        <f>IFERROR(INDEX('Prior YTD Data Pull'!$A$2:$CB$605,MATCH('Prior YTD Data Table'!$C95,'Prior YTD Data Pull'!$A$2:$A$605,0),MATCH("Total Assets",'Prior YTD Data Pull'!$A$1:$CB$1,0)),"")</f>
        <v>0</v>
      </c>
      <c r="AS95" s="38">
        <f>IFERROR(INDEX('Prior YTD Data Pull'!$A$2:$CB$605,MATCH('Prior YTD Data Table'!$C95,'Prior YTD Data Pull'!$A$2:$A$605,0),MATCH("Long Term Debt Net of Current Portion",'Prior YTD Data Pull'!$A$1:$CB$1,0)),"")</f>
        <v>0</v>
      </c>
      <c r="AT95" s="38">
        <f>IFERROR(INDEX('Prior YTD Data Pull'!$A$2:$CB$605,MATCH('Prior YTD Data Table'!$C95,'Prior YTD Data Pull'!$A$2:$A$605,0),MATCH("Net Unrestricted Assets",'Prior YTD Data Pull'!$A$1:$CB$1,0)),"")</f>
        <v>0</v>
      </c>
      <c r="AU95" s="38">
        <f>IFERROR(INDEX('Prior YTD Data Pull'!$A$2:$CB$605,MATCH('Prior YTD Data Table'!$C95,'Prior YTD Data Pull'!$A$2:$A$605,0),MATCH("Unrealized Gains/Losses",'Prior YTD Data Pull'!$A$1:$CB$1,0)),"")</f>
        <v>0</v>
      </c>
      <c r="AV95" s="38">
        <f>IFERROR(INDEX('Prior YTD Data Pull'!$A$2:$CB$605,MATCH('Prior YTD Data Table'!$C95,'Prior YTD Data Pull'!$A$2:$A$605,0),MATCH("Salary and Benefit Expense",'Prior YTD Data Pull'!$A$1:$CB$1,0)),"")</f>
        <v>3387000</v>
      </c>
      <c r="AW95" s="38"/>
      <c r="AX95" s="38"/>
      <c r="AY95" s="38"/>
      <c r="AZ95" s="38"/>
    </row>
    <row r="96" spans="1:52" ht="34.200000000000003" x14ac:dyDescent="0.3">
      <c r="A96" s="14" t="str">
        <f>IFERROR(INDEX('Static Data Tab'!$N$2:$N$610,MATCH(D96,'Static Data Tab'!$D$2:$D$610,0)), "")</f>
        <v>Mass General Brigham</v>
      </c>
      <c r="B96" s="14" t="s">
        <v>152</v>
      </c>
      <c r="C96" s="14">
        <v>9323</v>
      </c>
      <c r="D96" s="14">
        <v>3791</v>
      </c>
      <c r="E96" s="14" t="str">
        <f>IFERROR(INDEX('Prior YTD Data Pull'!$A$1:$CB$605,MATCH('Prior YTD Data Table'!$C96,'Prior YTD Data Pull'!$A$1:$A$605,0),MATCH("Organization Type",'Prior YTD Data Pull'!$A$1:$CB$1,0)),"")</f>
        <v>PhysicianOrganization</v>
      </c>
      <c r="F96" s="14" t="str">
        <f>IFERROR(INDEX('Static Data Tab'!$E$2:$E$610,MATCH('Prior YTD Data Table'!$C96,'Static Data Tab'!$B$2:$B$610,0)), "-")</f>
        <v>-</v>
      </c>
      <c r="G96" s="46" t="str">
        <f>IFERROR(INDEX('Static Data Tab'!$J$2:$J$610,MATCH('Prior YTD Data Table'!$C96,'Static Data Tab'!$B$2:$B$610,0)), "")</f>
        <v/>
      </c>
      <c r="H96" s="14" t="str">
        <f>IFERROR(INDEX('Static Data Tab'!$F$2:$F$610,MATCH('Prior YTD Data Table'!$C96,'Static Data Tab'!$B$2:$B$610,0)), "")</f>
        <v/>
      </c>
      <c r="I96" s="14" t="str">
        <f>IFERROR(INDEX('Static Data Tab'!$G$2:$G$610,MATCH('Prior YTD Data Table'!$C96,'Static Data Tab'!$B$2:$B$610,0)), "")</f>
        <v/>
      </c>
      <c r="J96" s="14" t="str">
        <f>IFERROR(INDEX('Prior YTD Data Pull'!$A$2:$CB$605,MATCH('Prior YTD Data Table'!$C96,'Prior YTD Data Pull'!$A$2:$A$605,0),MATCH("Quarter Range",'Prior YTD Data Pull'!$A$1:$CB$1,0)),"")</f>
        <v xml:space="preserve">10/01/2024-03/31/2025
</v>
      </c>
      <c r="K96" s="37">
        <f t="shared" si="15"/>
        <v>-0.26529749036563588</v>
      </c>
      <c r="L96" s="37">
        <f t="shared" si="16"/>
        <v>0</v>
      </c>
      <c r="M96" s="37">
        <f t="shared" si="17"/>
        <v>-0.26529749036563588</v>
      </c>
      <c r="N96" s="38">
        <f t="shared" si="18"/>
        <v>-11290000</v>
      </c>
      <c r="O96" s="39" t="str">
        <f t="shared" si="19"/>
        <v/>
      </c>
      <c r="P96" s="38">
        <f>IFERROR(INDEX('Prior YTD Data Pull'!$A$2:$CB$605,MATCH('Prior YTD Data Table'!$C96,'Prior YTD Data Pull'!$A$2:$A$605,0),MATCH("Total Net Assets or Equity",'Prior YTD Data Pull'!$A$1:$CB$1,0)),"")</f>
        <v>0</v>
      </c>
      <c r="Q96" s="38">
        <f>IFERROR(INDEX('Prior YTD Data Pull'!$A$2:$CB$605,MATCH('Prior YTD Data Table'!$C96,'Prior YTD Data Pull'!$A$2:$A$605,0),MATCH("Total Operating Revenue",'Prior YTD Data Pull'!$A$1:$CB$1,0)),"")</f>
        <v>42556000</v>
      </c>
      <c r="R96" s="38">
        <f>IFERROR(INDEX('Prior YTD Data Pull'!$A$2:$CB$605,MATCH('Prior YTD Data Table'!$C96,'Prior YTD Data Pull'!$A$2:$A$605,0),MATCH("Total Unrestricted Revenue Gains and Other Support",'Prior YTD Data Pull'!$A$1:$CB$1,0)),"")</f>
        <v>42556000</v>
      </c>
      <c r="S96" s="38">
        <f>IFERROR(INDEX('Prior YTD TS Data Pull'!$J$2:$J$128,MATCH('Prior YTD Data Table'!$C96, 'Prior YTD TS Data Pull'!$A$2:$A$128,0))+INDEX('Prior YTD TS Data Pull'!$N$2:$N$128,MATCH('Prior YTD Data Table'!$C96,'Prior YTD TS Data Pull'!$A$2:$A$609,0))+INDEX('Prior YTD TS Data Pull'!$R$2:$R$128,MATCH('Prior YTD Data Table'!$C96,'Prior YTD TS Data Pull'!$A$2:$A$609,0)),"")</f>
        <v>211533</v>
      </c>
      <c r="T96" s="38">
        <f>IF(INDEX('Prior YTD TS Data Pull'!$A$1:$O$609,MATCH('Prior YTD Data Table'!$C96,'Prior YTD TS Data Pull'!$A$1:$A$609,0),MATCH("Temporary RN Staffing:
Line Reported on in Standardized Financials",'Prior YTD TS Data Pull'!$A$1:$O$1,0))="66.1: Salary and Benefit Expense",'Prior YTD Data Table'!$AV96-'Prior YTD Data Table'!$S96,0)</f>
        <v>0</v>
      </c>
      <c r="U96" s="38">
        <f>IFERROR(INDEX('Prior YTD Data Pull'!$A$2:$CB$605,MATCH('Prior YTD Data Table'!$C96,'Prior YTD Data Pull'!$A$2:$A$605,0),MATCH("Total Expenses Including Nonrecurring Gains Losses",'Prior YTD Data Pull'!$A$1:$CB$1,0)),"")</f>
        <v>53846000</v>
      </c>
      <c r="V96" s="41">
        <f t="shared" si="20"/>
        <v>8519.0862448979587</v>
      </c>
      <c r="W96" s="41">
        <f t="shared" si="21"/>
        <v>0</v>
      </c>
      <c r="X96" s="41">
        <f t="shared" si="13"/>
        <v>0</v>
      </c>
      <c r="Y96" s="37" t="str">
        <f t="shared" si="22"/>
        <v/>
      </c>
      <c r="Z96" s="41">
        <f t="shared" si="14"/>
        <v>0</v>
      </c>
      <c r="AA96" s="39" t="str">
        <f t="shared" si="23"/>
        <v/>
      </c>
      <c r="AB96" s="37" t="str">
        <f t="shared" si="24"/>
        <v/>
      </c>
      <c r="AC96" s="37" t="str">
        <f t="shared" si="25"/>
        <v/>
      </c>
      <c r="AD96" s="38">
        <f>IFERROR(INDEX('Prior YTD Data Pull'!$A$2:$CB$605,MATCH('Prior YTD Data Table'!$C96,'Prior YTD Data Pull'!$A$2:$A$605,0),MATCH("Net Patient Service Revenue",'Prior YTD Data Pull'!$A$1:$CB$1,0)),"")</f>
        <v>33366000</v>
      </c>
      <c r="AE96" s="38">
        <f>IFERROR(INDEX('Prior YTD Data Pull'!$A$2:$CB$605,MATCH('Prior YTD Data Table'!$C96,'Prior YTD Data Pull'!$A$2:$A$605,0),MATCH("Total Current Assets",'Prior YTD Data Pull'!$A$1:$CB$1,0)),"")</f>
        <v>0</v>
      </c>
      <c r="AF96" s="38">
        <f>IFERROR(INDEX('Prior YTD Data Pull'!$A$2:$CB$605,MATCH('Prior YTD Data Table'!$C96,'Prior YTD Data Pull'!$A$2:$A$605,0),MATCH("Total Current Liabilities",'Prior YTD Data Pull'!$A$1:$CB$1,0)),"")</f>
        <v>0</v>
      </c>
      <c r="AG96" s="38">
        <f>IFERROR(INDEX('Prior YTD Data Pull'!$A$2:$CB$605,MATCH('Prior YTD Data Table'!$C96,'Prior YTD Data Pull'!$A$2:$A$605,0),MATCH("Total Non Operating Revenue",'Prior YTD Data Pull'!$A$1:$CB$1,0)),"")</f>
        <v>0</v>
      </c>
      <c r="AH96" s="38">
        <f>IFERROR(INDEX('Prior YTD Data Pull'!$A$2:$CB$605,MATCH('Prior YTD Data Table'!$C96,'Prior Year Data Pull'!$A$2:$A$593,0),MATCH("Less Accumulated Depreciation",'Prior YTD Data Pull'!$A$1:$CB$1,0)),"")</f>
        <v>417435226</v>
      </c>
      <c r="AI96" s="38">
        <f>IFERROR(INDEX('Prior YTD Data Pull'!$A$2:$CB$605,MATCH('Prior YTD Data Table'!$C96,'Prior YTD Data Pull'!$A$2:$A$605,0),MATCH("Depreciation and Amortization Expense",'Prior YTD Data Pull'!$A$1:$CB$1,0)),"")</f>
        <v>49000</v>
      </c>
      <c r="AJ96" s="38">
        <f>IFERROR(INDEX('Prior YTD Data Pull'!$A$2:$CB$605,MATCH('Prior YTD Data Table'!$C96,'Prior YTD Data Pull'!$A$2:$A$605,0),MATCH("Net Patient Accounts Receivable",'Prior YTD Data Pull'!$A$1:$CB$1,0)),"")</f>
        <v>0</v>
      </c>
      <c r="AK96" s="14" t="str">
        <f>IF('Prior YTD Data Pull'!$H95 = 6, "183", IF('Prior YTD Data Pull'!$H95 = 3, "93",""))</f>
        <v>183</v>
      </c>
      <c r="AL96" s="38">
        <f>IFERROR(INDEX('Prior YTD Data Pull'!$A$2:$CB$605,MATCH('Prior YTD Data Table'!$C96,'Prior YTD Data Pull'!$A$2:$A$605,0),MATCH("Estimated Third Party Settlements",'Prior YTD Data Pull'!$A$1:$CB$1,0)),"")</f>
        <v>0</v>
      </c>
      <c r="AM96" s="38">
        <f>IFERROR(INDEX('Prior YTD Data Pull'!$A$2:$CB$605,MATCH('Prior YTD Data Table'!$C96,'Prior YTD Data Pull'!$A$2:$A$605,0),MATCH("Current Liabilities due to Affiliates",'Prior YTD Data Pull'!$A$1:$CB$1,0)),"")</f>
        <v>0</v>
      </c>
      <c r="AN96" s="38">
        <f>IFERROR(INDEX('Prior YTD Data Pull'!$A$2:$CB$605,MATCH('Prior YTD Data Table'!$C96,'Prior YTD Data Pull'!$A$2:$A$605,0),MATCH("Short Term Investments",'Prior YTD Data Pull'!$A$1:$CB$1,0)),"")</f>
        <v>0</v>
      </c>
      <c r="AO96" s="38">
        <f>IFERROR(INDEX('Prior YTD Data Pull'!$A$2:$CB$605,MATCH('Prior YTD Data Table'!$C96,'Prior YTD Data Pull'!$A$2:$A$605,0),MATCH("Cash and Cash Equivalents",'Prior YTD Data Pull'!$A$1:$CB$1,0)),"")</f>
        <v>0</v>
      </c>
      <c r="AP96" s="38">
        <f>IFERROR(INDEX('Prior YTD Data Pull'!$A$2:$CB$605,MATCH('Prior YTD Data Table'!$C96,'Prior YTD Data Pull'!$A$2:$A$605,0),MATCH("Interest Expense",'Prior YTD Data Pull'!$A$1:$CB$1,0)),"")</f>
        <v>0</v>
      </c>
      <c r="AQ96" s="38">
        <f>IFERROR(INDEX('Prior YTD Data Pull'!$A$2:$CB$605,MATCH('Prior YTD Data Table'!$C96,'Prior YTD Data Pull'!$A$2:$A$605,0),MATCH("Long Term Debt Net of Current Portion",'Prior YTD Data Pull'!$A$1:$CB$1,0)),"")</f>
        <v>0</v>
      </c>
      <c r="AR96" s="38">
        <f>IFERROR(INDEX('Prior YTD Data Pull'!$A$2:$CB$605,MATCH('Prior YTD Data Table'!$C96,'Prior YTD Data Pull'!$A$2:$A$605,0),MATCH("Total Assets",'Prior YTD Data Pull'!$A$1:$CB$1,0)),"")</f>
        <v>0</v>
      </c>
      <c r="AS96" s="38">
        <f>IFERROR(INDEX('Prior YTD Data Pull'!$A$2:$CB$605,MATCH('Prior YTD Data Table'!$C96,'Prior YTD Data Pull'!$A$2:$A$605,0),MATCH("Long Term Debt Net of Current Portion",'Prior YTD Data Pull'!$A$1:$CB$1,0)),"")</f>
        <v>0</v>
      </c>
      <c r="AT96" s="38">
        <f>IFERROR(INDEX('Prior YTD Data Pull'!$A$2:$CB$605,MATCH('Prior YTD Data Table'!$C96,'Prior YTD Data Pull'!$A$2:$A$605,0),MATCH("Net Unrestricted Assets",'Prior YTD Data Pull'!$A$1:$CB$1,0)),"")</f>
        <v>0</v>
      </c>
      <c r="AU96" s="38">
        <f>IFERROR(INDEX('Prior YTD Data Pull'!$A$2:$CB$605,MATCH('Prior YTD Data Table'!$C96,'Prior YTD Data Pull'!$A$2:$A$605,0),MATCH("Unrealized Gains/Losses",'Prior YTD Data Pull'!$A$1:$CB$1,0)),"")</f>
        <v>0</v>
      </c>
      <c r="AV96" s="38">
        <f>IFERROR(INDEX('Prior YTD Data Pull'!$A$2:$CB$605,MATCH('Prior YTD Data Table'!$C96,'Prior YTD Data Pull'!$A$2:$A$605,0),MATCH("Salary and Benefit Expense",'Prior YTD Data Pull'!$A$1:$CB$1,0)),"")</f>
        <v>40232000</v>
      </c>
      <c r="AW96" s="47"/>
      <c r="AX96" s="47"/>
      <c r="AY96" s="47"/>
      <c r="AZ96" s="47"/>
    </row>
    <row r="97" spans="1:52" ht="34.200000000000003" x14ac:dyDescent="0.3">
      <c r="A97" s="14" t="str">
        <f>IFERROR(INDEX('Static Data Tab'!$N$2:$N$610,MATCH(D97,'Static Data Tab'!$D$2:$D$610,0)), "")</f>
        <v>Beth Israel Lahey Health</v>
      </c>
      <c r="B97" s="57" t="s">
        <v>106</v>
      </c>
      <c r="C97" s="57">
        <v>14421</v>
      </c>
      <c r="D97" s="57">
        <v>16665</v>
      </c>
      <c r="E97" s="14" t="str">
        <f>IFERROR(INDEX('Prior YTD Data Pull'!$A$1:$CB$605,MATCH('Prior YTD Data Table'!$C97,'Prior YTD Data Pull'!$A$1:$A$605,0),MATCH("Organization Type",'Prior YTD Data Pull'!$A$1:$CB$1,0)),"")</f>
        <v>PhysicianOrganization</v>
      </c>
      <c r="F97" s="14" t="str">
        <f>IFERROR(INDEX('Static Data Tab'!$E$2:$E$610,MATCH('Prior YTD Data Table'!$C97,'Static Data Tab'!$B$2:$B$610,0)), "-")</f>
        <v>-</v>
      </c>
      <c r="G97" s="46" t="str">
        <f>IFERROR(INDEX('Static Data Tab'!$J$2:$J$610,MATCH('Prior YTD Data Table'!$C97,'Static Data Tab'!$B$2:$B$610,0)), "")</f>
        <v/>
      </c>
      <c r="H97" s="14" t="str">
        <f>IFERROR(INDEX('Static Data Tab'!$F$2:$F$610,MATCH('Prior YTD Data Table'!$C97,'Static Data Tab'!$B$2:$B$610,0)), "")</f>
        <v/>
      </c>
      <c r="I97" s="14" t="str">
        <f>IFERROR(INDEX('Static Data Tab'!$G$2:$G$610,MATCH('Prior YTD Data Table'!$C97,'Static Data Tab'!$B$2:$B$610,0)), "")</f>
        <v/>
      </c>
      <c r="J97" s="14" t="str">
        <f>IFERROR(INDEX('Prior YTD Data Pull'!$A$2:$CB$605,MATCH('Prior YTD Data Table'!$C97,'Prior YTD Data Pull'!$A$2:$A$605,0),MATCH("Quarter Range",'Prior YTD Data Pull'!$A$1:$CB$1,0)),"")</f>
        <v xml:space="preserve">10/01/2024-03/31/2025
</v>
      </c>
      <c r="K97" s="37">
        <f t="shared" si="15"/>
        <v>-0.25424659579232467</v>
      </c>
      <c r="L97" s="37">
        <f t="shared" si="16"/>
        <v>-5.8647273968074557E-4</v>
      </c>
      <c r="M97" s="37">
        <f t="shared" si="17"/>
        <v>-0.25483306853200544</v>
      </c>
      <c r="N97" s="38">
        <f t="shared" si="18"/>
        <v>-47797000</v>
      </c>
      <c r="O97" s="39" t="str">
        <f t="shared" si="19"/>
        <v/>
      </c>
      <c r="P97" s="38">
        <f>IFERROR(INDEX('Prior YTD Data Pull'!$A$2:$CB$605,MATCH('Prior YTD Data Table'!$C97,'Prior YTD Data Pull'!$A$2:$A$605,0),MATCH("Total Net Assets or Equity",'Prior YTD Data Pull'!$A$1:$CB$1,0)),"")</f>
        <v>0</v>
      </c>
      <c r="Q97" s="38">
        <f>IFERROR(INDEX('Prior YTD Data Pull'!$A$2:$CB$605,MATCH('Prior YTD Data Table'!$C97,'Prior YTD Data Pull'!$A$2:$A$605,0),MATCH("Total Operating Revenue",'Prior YTD Data Pull'!$A$1:$CB$1,0)),"")</f>
        <v>187672000</v>
      </c>
      <c r="R97" s="38">
        <f>IFERROR(INDEX('Prior YTD Data Pull'!$A$2:$CB$605,MATCH('Prior YTD Data Table'!$C97,'Prior YTD Data Pull'!$A$2:$A$605,0),MATCH("Total Unrestricted Revenue Gains and Other Support",'Prior YTD Data Pull'!$A$1:$CB$1,0)),"")</f>
        <v>187562000</v>
      </c>
      <c r="S97" s="38">
        <f>IFERROR(INDEX('Prior YTD TS Data Pull'!$J$2:$J$128,MATCH('Prior YTD Data Table'!$C97, 'Prior YTD TS Data Pull'!$A$2:$A$128,0))+INDEX('Prior YTD TS Data Pull'!$N$2:$N$128,MATCH('Prior YTD Data Table'!$C97,'Prior YTD TS Data Pull'!$A$2:$A$609,0))+INDEX('Prior YTD TS Data Pull'!$R$2:$R$128,MATCH('Prior YTD Data Table'!$C97,'Prior YTD TS Data Pull'!$A$2:$A$609,0)),"")</f>
        <v>1435656</v>
      </c>
      <c r="T97" s="38">
        <f>IF(INDEX('Prior YTD TS Data Pull'!$A$1:$O$609,MATCH('Prior YTD Data Table'!$C97,'Prior YTD TS Data Pull'!$A$1:$A$609,0),MATCH("Temporary RN Staffing:
Line Reported on in Standardized Financials",'Prior YTD TS Data Pull'!$A$1:$O$1,0))="66.1: Salary and Benefit Expense",'Prior YTD Data Table'!$AV97-'Prior YTD Data Table'!$S97,0)</f>
        <v>217287344</v>
      </c>
      <c r="U97" s="38">
        <f>IFERROR(INDEX('Prior YTD Data Pull'!$A$2:$CB$605,MATCH('Prior YTD Data Table'!$C97,'Prior YTD Data Pull'!$A$2:$A$605,0),MATCH("Total Expenses Including Nonrecurring Gains Losses",'Prior YTD Data Pull'!$A$1:$CB$1,0)),"")</f>
        <v>235359000</v>
      </c>
      <c r="V97" s="41">
        <f t="shared" si="20"/>
        <v>34.550947843137251</v>
      </c>
      <c r="W97" s="41">
        <f t="shared" si="21"/>
        <v>0</v>
      </c>
      <c r="X97" s="41">
        <f t="shared" si="13"/>
        <v>0</v>
      </c>
      <c r="Y97" s="37" t="str">
        <f t="shared" si="22"/>
        <v/>
      </c>
      <c r="Z97" s="41">
        <f t="shared" si="14"/>
        <v>0</v>
      </c>
      <c r="AA97" s="39">
        <f t="shared" si="23"/>
        <v>-474.37894736842105</v>
      </c>
      <c r="AB97" s="37" t="str">
        <f t="shared" si="24"/>
        <v/>
      </c>
      <c r="AC97" s="37" t="str">
        <f t="shared" si="25"/>
        <v/>
      </c>
      <c r="AD97" s="38">
        <f>IFERROR(INDEX('Prior YTD Data Pull'!$A$2:$CB$605,MATCH('Prior YTD Data Table'!$C97,'Prior YTD Data Pull'!$A$2:$A$605,0),MATCH("Net Patient Service Revenue",'Prior YTD Data Pull'!$A$1:$CB$1,0)),"")</f>
        <v>165286000</v>
      </c>
      <c r="AE97" s="38">
        <f>IFERROR(INDEX('Prior YTD Data Pull'!$A$2:$CB$605,MATCH('Prior YTD Data Table'!$C97,'Prior YTD Data Pull'!$A$2:$A$605,0),MATCH("Total Current Assets",'Prior YTD Data Pull'!$A$1:$CB$1,0)),"")</f>
        <v>0</v>
      </c>
      <c r="AF97" s="38">
        <f>IFERROR(INDEX('Prior YTD Data Pull'!$A$2:$CB$605,MATCH('Prior YTD Data Table'!$C97,'Prior YTD Data Pull'!$A$2:$A$605,0),MATCH("Total Current Liabilities",'Prior YTD Data Pull'!$A$1:$CB$1,0)),"")</f>
        <v>0</v>
      </c>
      <c r="AG97" s="38">
        <f>IFERROR(INDEX('Prior YTD Data Pull'!$A$2:$CB$605,MATCH('Prior YTD Data Table'!$C97,'Prior YTD Data Pull'!$A$2:$A$605,0),MATCH("Total Non Operating Revenue",'Prior YTD Data Pull'!$A$1:$CB$1,0)),"")</f>
        <v>-110000</v>
      </c>
      <c r="AH97" s="38">
        <f>IFERROR(INDEX('Prior YTD Data Pull'!$A$2:$CB$605,MATCH('Prior YTD Data Table'!$C97,'Prior Year Data Pull'!$A$2:$A$593,0),MATCH("Less Accumulated Depreciation",'Prior YTD Data Pull'!$A$1:$CB$1,0)),"")</f>
        <v>88104917</v>
      </c>
      <c r="AI97" s="38">
        <f>IFERROR(INDEX('Prior YTD Data Pull'!$A$2:$CB$605,MATCH('Prior YTD Data Table'!$C97,'Prior YTD Data Pull'!$A$2:$A$605,0),MATCH("Depreciation and Amortization Expense",'Prior YTD Data Pull'!$A$1:$CB$1,0)),"")</f>
        <v>2550000</v>
      </c>
      <c r="AJ97" s="38">
        <f>IFERROR(INDEX('Prior YTD Data Pull'!$A$2:$CB$605,MATCH('Prior YTD Data Table'!$C97,'Prior YTD Data Pull'!$A$2:$A$605,0),MATCH("Net Patient Accounts Receivable",'Prior YTD Data Pull'!$A$1:$CB$1,0)),"")</f>
        <v>0</v>
      </c>
      <c r="AK97" s="14" t="str">
        <f>IF('Prior YTD Data Pull'!$H96 = 6, "183", IF('Prior YTD Data Pull'!$H96 = 3, "93",""))</f>
        <v>183</v>
      </c>
      <c r="AL97" s="38">
        <f>IFERROR(INDEX('Prior YTD Data Pull'!$A$2:$CB$605,MATCH('Prior YTD Data Table'!$C97,'Prior YTD Data Pull'!$A$2:$A$605,0),MATCH("Estimated Third Party Settlements",'Prior YTD Data Pull'!$A$1:$CB$1,0)),"")</f>
        <v>0</v>
      </c>
      <c r="AM97" s="38">
        <f>IFERROR(INDEX('Prior YTD Data Pull'!$A$2:$CB$605,MATCH('Prior YTD Data Table'!$C97,'Prior YTD Data Pull'!$A$2:$A$605,0),MATCH("Current Liabilities due to Affiliates",'Prior YTD Data Pull'!$A$1:$CB$1,0)),"")</f>
        <v>0</v>
      </c>
      <c r="AN97" s="38">
        <f>IFERROR(INDEX('Prior YTD Data Pull'!$A$2:$CB$605,MATCH('Prior YTD Data Table'!$C97,'Prior YTD Data Pull'!$A$2:$A$605,0),MATCH("Short Term Investments",'Prior YTD Data Pull'!$A$1:$CB$1,0)),"")</f>
        <v>0</v>
      </c>
      <c r="AO97" s="38">
        <f>IFERROR(INDEX('Prior YTD Data Pull'!$A$2:$CB$605,MATCH('Prior YTD Data Table'!$C97,'Prior YTD Data Pull'!$A$2:$A$605,0),MATCH("Cash and Cash Equivalents",'Prior YTD Data Pull'!$A$1:$CB$1,0)),"")</f>
        <v>0</v>
      </c>
      <c r="AP97" s="38">
        <f>IFERROR(INDEX('Prior YTD Data Pull'!$A$2:$CB$605,MATCH('Prior YTD Data Table'!$C97,'Prior YTD Data Pull'!$A$2:$A$605,0),MATCH("Interest Expense",'Prior YTD Data Pull'!$A$1:$CB$1,0)),"")</f>
        <v>95000</v>
      </c>
      <c r="AQ97" s="38">
        <f>IFERROR(INDEX('Prior YTD Data Pull'!$A$2:$CB$605,MATCH('Prior YTD Data Table'!$C97,'Prior YTD Data Pull'!$A$2:$A$605,0),MATCH("Long Term Debt Net of Current Portion",'Prior YTD Data Pull'!$A$1:$CB$1,0)),"")</f>
        <v>0</v>
      </c>
      <c r="AR97" s="38">
        <f>IFERROR(INDEX('Prior YTD Data Pull'!$A$2:$CB$605,MATCH('Prior YTD Data Table'!$C97,'Prior YTD Data Pull'!$A$2:$A$605,0),MATCH("Total Assets",'Prior YTD Data Pull'!$A$1:$CB$1,0)),"")</f>
        <v>0</v>
      </c>
      <c r="AS97" s="38">
        <f>IFERROR(INDEX('Prior YTD Data Pull'!$A$2:$CB$605,MATCH('Prior YTD Data Table'!$C97,'Prior YTD Data Pull'!$A$2:$A$605,0),MATCH("Long Term Debt Net of Current Portion",'Prior YTD Data Pull'!$A$1:$CB$1,0)),"")</f>
        <v>0</v>
      </c>
      <c r="AT97" s="38">
        <f>IFERROR(INDEX('Prior YTD Data Pull'!$A$2:$CB$605,MATCH('Prior YTD Data Table'!$C97,'Prior YTD Data Pull'!$A$2:$A$605,0),MATCH("Net Unrestricted Assets",'Prior YTD Data Pull'!$A$1:$CB$1,0)),"")</f>
        <v>0</v>
      </c>
      <c r="AU97" s="38">
        <f>IFERROR(INDEX('Prior YTD Data Pull'!$A$2:$CB$605,MATCH('Prior YTD Data Table'!$C97,'Prior YTD Data Pull'!$A$2:$A$605,0),MATCH("Unrealized Gains/Losses",'Prior YTD Data Pull'!$A$1:$CB$1,0)),"")</f>
        <v>-86000</v>
      </c>
      <c r="AV97" s="38">
        <f>IFERROR(INDEX('Prior YTD Data Pull'!$A$2:$CB$605,MATCH('Prior YTD Data Table'!$C97,'Prior YTD Data Pull'!$A$2:$A$605,0),MATCH("Salary and Benefit Expense",'Prior YTD Data Pull'!$A$1:$CB$1,0)),"")</f>
        <v>218723000</v>
      </c>
      <c r="AW97" s="38"/>
      <c r="AX97" s="38"/>
      <c r="AY97" s="38"/>
      <c r="AZ97" s="38"/>
    </row>
    <row r="98" spans="1:52" ht="34.200000000000003" x14ac:dyDescent="0.3">
      <c r="A98" s="14" t="str">
        <f>IFERROR(INDEX('Static Data Tab'!$N$2:$N$610,MATCH(D98,'Static Data Tab'!$D$2:$D$610,0)), "")</f>
        <v>Mass General Brigham</v>
      </c>
      <c r="B98" s="14" t="s">
        <v>153</v>
      </c>
      <c r="C98" s="14">
        <v>14423</v>
      </c>
      <c r="D98" s="14">
        <v>3791</v>
      </c>
      <c r="E98" s="14" t="str">
        <f>IFERROR(INDEX('Prior YTD Data Pull'!$A$1:$CB$605,MATCH('Prior YTD Data Table'!$C98,'Prior YTD Data Pull'!$A$1:$A$605,0),MATCH("Organization Type",'Prior YTD Data Pull'!$A$1:$CB$1,0)),"")</f>
        <v>PhysicianOrganization</v>
      </c>
      <c r="F98" s="14" t="str">
        <f>IFERROR(INDEX('Static Data Tab'!$E$2:$E$610,MATCH('Prior YTD Data Table'!$C98,'Static Data Tab'!$B$2:$B$610,0)), "-")</f>
        <v>-</v>
      </c>
      <c r="G98" s="46" t="str">
        <f>IFERROR(INDEX('Static Data Tab'!$J$2:$J$610,MATCH('Prior YTD Data Table'!$C98,'Static Data Tab'!$B$2:$B$610,0)), "")</f>
        <v/>
      </c>
      <c r="H98" s="14" t="str">
        <f>IFERROR(INDEX('Static Data Tab'!$F$2:$F$610,MATCH('Prior YTD Data Table'!$C98,'Static Data Tab'!$B$2:$B$610,0)), "")</f>
        <v/>
      </c>
      <c r="I98" s="14" t="str">
        <f>IFERROR(INDEX('Static Data Tab'!$G$2:$G$610,MATCH('Prior YTD Data Table'!$C98,'Static Data Tab'!$B$2:$B$610,0)), "")</f>
        <v/>
      </c>
      <c r="J98" s="14" t="str">
        <f>IFERROR(INDEX('Prior YTD Data Pull'!$A$2:$CB$605,MATCH('Prior YTD Data Table'!$C98,'Prior YTD Data Pull'!$A$2:$A$605,0),MATCH("Quarter Range",'Prior YTD Data Pull'!$A$1:$CB$1,0)),"")</f>
        <v xml:space="preserve">10/01/2024-03/31/2025
</v>
      </c>
      <c r="K98" s="37">
        <f t="shared" si="15"/>
        <v>1.5564913090293802E-2</v>
      </c>
      <c r="L98" s="37">
        <f t="shared" si="16"/>
        <v>8.0852945700661434E-3</v>
      </c>
      <c r="M98" s="37">
        <f t="shared" si="17"/>
        <v>2.3650207660359943E-2</v>
      </c>
      <c r="N98" s="38">
        <f t="shared" si="18"/>
        <v>2460000</v>
      </c>
      <c r="O98" s="39" t="str">
        <f t="shared" si="19"/>
        <v/>
      </c>
      <c r="P98" s="38">
        <f>IFERROR(INDEX('Prior YTD Data Pull'!$A$2:$CB$605,MATCH('Prior YTD Data Table'!$C98,'Prior YTD Data Pull'!$A$2:$A$605,0),MATCH("Total Net Assets or Equity",'Prior YTD Data Pull'!$A$1:$CB$1,0)),"")</f>
        <v>0</v>
      </c>
      <c r="Q98" s="38">
        <f>IFERROR(INDEX('Prior YTD Data Pull'!$A$2:$CB$605,MATCH('Prior YTD Data Table'!$C98,'Prior YTD Data Pull'!$A$2:$A$605,0),MATCH("Total Operating Revenue",'Prior YTD Data Pull'!$A$1:$CB$1,0)),"")</f>
        <v>103175000</v>
      </c>
      <c r="R98" s="38">
        <f>IFERROR(INDEX('Prior YTD Data Pull'!$A$2:$CB$605,MATCH('Prior YTD Data Table'!$C98,'Prior YTD Data Pull'!$A$2:$A$605,0),MATCH("Total Unrestricted Revenue Gains and Other Support",'Prior YTD Data Pull'!$A$1:$CB$1,0)),"")</f>
        <v>104016000</v>
      </c>
      <c r="S98" s="38">
        <f>IFERROR(INDEX('Prior YTD TS Data Pull'!$J$2:$J$128,MATCH('Prior YTD Data Table'!$C98, 'Prior YTD TS Data Pull'!$A$2:$A$128,0))+INDEX('Prior YTD TS Data Pull'!$N$2:$N$128,MATCH('Prior YTD Data Table'!$C98,'Prior YTD TS Data Pull'!$A$2:$A$609,0))+INDEX('Prior YTD TS Data Pull'!$R$2:$R$128,MATCH('Prior YTD Data Table'!$C98,'Prior YTD TS Data Pull'!$A$2:$A$609,0)),"")</f>
        <v>1298355.2899999998</v>
      </c>
      <c r="T98" s="38">
        <f>IF(INDEX('Prior YTD TS Data Pull'!$A$1:$O$609,MATCH('Prior YTD Data Table'!$C98,'Prior YTD TS Data Pull'!$A$1:$A$609,0),MATCH("Temporary RN Staffing:
Line Reported on in Standardized Financials",'Prior YTD TS Data Pull'!$A$1:$O$1,0))="66.1: Salary and Benefit Expense",'Prior YTD Data Table'!$AV98-'Prior YTD Data Table'!$S98,0)</f>
        <v>0</v>
      </c>
      <c r="U98" s="38">
        <f>IFERROR(INDEX('Prior YTD Data Pull'!$A$2:$CB$605,MATCH('Prior YTD Data Table'!$C98,'Prior YTD Data Pull'!$A$2:$A$605,0),MATCH("Total Expenses Including Nonrecurring Gains Losses",'Prior YTD Data Pull'!$A$1:$CB$1,0)),"")</f>
        <v>101556000</v>
      </c>
      <c r="V98" s="41">
        <f t="shared" si="20"/>
        <v>0</v>
      </c>
      <c r="W98" s="41">
        <f t="shared" si="21"/>
        <v>0</v>
      </c>
      <c r="X98" s="41">
        <f t="shared" si="13"/>
        <v>0</v>
      </c>
      <c r="Y98" s="37" t="str">
        <f t="shared" si="22"/>
        <v/>
      </c>
      <c r="Z98" s="41">
        <f t="shared" si="14"/>
        <v>0</v>
      </c>
      <c r="AA98" s="39">
        <f t="shared" si="23"/>
        <v>4093</v>
      </c>
      <c r="AB98" s="37" t="str">
        <f t="shared" si="24"/>
        <v/>
      </c>
      <c r="AC98" s="37" t="str">
        <f t="shared" si="25"/>
        <v/>
      </c>
      <c r="AD98" s="38">
        <f>IFERROR(INDEX('Prior YTD Data Pull'!$A$2:$CB$605,MATCH('Prior YTD Data Table'!$C98,'Prior YTD Data Pull'!$A$2:$A$605,0),MATCH("Net Patient Service Revenue",'Prior YTD Data Pull'!$A$1:$CB$1,0)),"")</f>
        <v>89776000</v>
      </c>
      <c r="AE98" s="38">
        <f>IFERROR(INDEX('Prior YTD Data Pull'!$A$2:$CB$605,MATCH('Prior YTD Data Table'!$C98,'Prior YTD Data Pull'!$A$2:$A$605,0),MATCH("Total Current Assets",'Prior YTD Data Pull'!$A$1:$CB$1,0)),"")</f>
        <v>0</v>
      </c>
      <c r="AF98" s="38">
        <f>IFERROR(INDEX('Prior YTD Data Pull'!$A$2:$CB$605,MATCH('Prior YTD Data Table'!$C98,'Prior YTD Data Pull'!$A$2:$A$605,0),MATCH("Total Current Liabilities",'Prior YTD Data Pull'!$A$1:$CB$1,0)),"")</f>
        <v>0</v>
      </c>
      <c r="AG98" s="38">
        <f>IFERROR(INDEX('Prior YTD Data Pull'!$A$2:$CB$605,MATCH('Prior YTD Data Table'!$C98,'Prior YTD Data Pull'!$A$2:$A$605,0),MATCH("Total Non Operating Revenue",'Prior YTD Data Pull'!$A$1:$CB$1,0)),"")</f>
        <v>841000</v>
      </c>
      <c r="AH98" s="38">
        <f>IFERROR(INDEX('Prior YTD Data Pull'!$A$2:$CB$605,MATCH('Prior YTD Data Table'!$C98,'Prior Year Data Pull'!$A$2:$A$593,0),MATCH("Less Accumulated Depreciation",'Prior YTD Data Pull'!$A$1:$CB$1,0)),"")</f>
        <v>0</v>
      </c>
      <c r="AI98" s="38">
        <f>IFERROR(INDEX('Prior YTD Data Pull'!$A$2:$CB$605,MATCH('Prior YTD Data Table'!$C98,'Prior YTD Data Pull'!$A$2:$A$605,0),MATCH("Depreciation and Amortization Expense",'Prior YTD Data Pull'!$A$1:$CB$1,0)),"")</f>
        <v>475000</v>
      </c>
      <c r="AJ98" s="38">
        <f>IFERROR(INDEX('Prior YTD Data Pull'!$A$2:$CB$605,MATCH('Prior YTD Data Table'!$C98,'Prior YTD Data Pull'!$A$2:$A$605,0),MATCH("Net Patient Accounts Receivable",'Prior YTD Data Pull'!$A$1:$CB$1,0)),"")</f>
        <v>0</v>
      </c>
      <c r="AK98" s="14" t="str">
        <f>IF('Prior YTD Data Pull'!$H97 = 6, "183", IF('Prior YTD Data Pull'!$H97 = 3, "93",""))</f>
        <v>183</v>
      </c>
      <c r="AL98" s="38">
        <f>IFERROR(INDEX('Prior YTD Data Pull'!$A$2:$CB$605,MATCH('Prior YTD Data Table'!$C98,'Prior YTD Data Pull'!$A$2:$A$605,0),MATCH("Estimated Third Party Settlements",'Prior YTD Data Pull'!$A$1:$CB$1,0)),"")</f>
        <v>0</v>
      </c>
      <c r="AM98" s="38">
        <f>IFERROR(INDEX('Prior YTD Data Pull'!$A$2:$CB$605,MATCH('Prior YTD Data Table'!$C98,'Prior YTD Data Pull'!$A$2:$A$605,0),MATCH("Current Liabilities due to Affiliates",'Prior YTD Data Pull'!$A$1:$CB$1,0)),"")</f>
        <v>0</v>
      </c>
      <c r="AN98" s="38">
        <f>IFERROR(INDEX('Prior YTD Data Pull'!$A$2:$CB$605,MATCH('Prior YTD Data Table'!$C98,'Prior YTD Data Pull'!$A$2:$A$605,0),MATCH("Short Term Investments",'Prior YTD Data Pull'!$A$1:$CB$1,0)),"")</f>
        <v>0</v>
      </c>
      <c r="AO98" s="38">
        <f>IFERROR(INDEX('Prior YTD Data Pull'!$A$2:$CB$605,MATCH('Prior YTD Data Table'!$C98,'Prior YTD Data Pull'!$A$2:$A$605,0),MATCH("Cash and Cash Equivalents",'Prior YTD Data Pull'!$A$1:$CB$1,0)),"")</f>
        <v>0</v>
      </c>
      <c r="AP98" s="38">
        <f>IFERROR(INDEX('Prior YTD Data Pull'!$A$2:$CB$605,MATCH('Prior YTD Data Table'!$C98,'Prior YTD Data Pull'!$A$2:$A$605,0),MATCH("Interest Expense",'Prior YTD Data Pull'!$A$1:$CB$1,0)),"")</f>
        <v>1000</v>
      </c>
      <c r="AQ98" s="38">
        <f>IFERROR(INDEX('Prior YTD Data Pull'!$A$2:$CB$605,MATCH('Prior YTD Data Table'!$C98,'Prior YTD Data Pull'!$A$2:$A$605,0),MATCH("Long Term Debt Net of Current Portion",'Prior YTD Data Pull'!$A$1:$CB$1,0)),"")</f>
        <v>0</v>
      </c>
      <c r="AR98" s="38">
        <f>IFERROR(INDEX('Prior YTD Data Pull'!$A$2:$CB$605,MATCH('Prior YTD Data Table'!$C98,'Prior YTD Data Pull'!$A$2:$A$605,0),MATCH("Total Assets",'Prior YTD Data Pull'!$A$1:$CB$1,0)),"")</f>
        <v>0</v>
      </c>
      <c r="AS98" s="38">
        <f>IFERROR(INDEX('Prior YTD Data Pull'!$A$2:$CB$605,MATCH('Prior YTD Data Table'!$C98,'Prior YTD Data Pull'!$A$2:$A$605,0),MATCH("Long Term Debt Net of Current Portion",'Prior YTD Data Pull'!$A$1:$CB$1,0)),"")</f>
        <v>0</v>
      </c>
      <c r="AT98" s="38">
        <f>IFERROR(INDEX('Prior YTD Data Pull'!$A$2:$CB$605,MATCH('Prior YTD Data Table'!$C98,'Prior YTD Data Pull'!$A$2:$A$605,0),MATCH("Net Unrestricted Assets",'Prior YTD Data Pull'!$A$1:$CB$1,0)),"")</f>
        <v>0</v>
      </c>
      <c r="AU98" s="38">
        <f>IFERROR(INDEX('Prior YTD Data Pull'!$A$2:$CB$605,MATCH('Prior YTD Data Table'!$C98,'Prior YTD Data Pull'!$A$2:$A$605,0),MATCH("Unrealized Gains/Losses",'Prior YTD Data Pull'!$A$1:$CB$1,0)),"")</f>
        <v>-1157000</v>
      </c>
      <c r="AV98" s="38">
        <f>IFERROR(INDEX('Prior YTD Data Pull'!$A$2:$CB$605,MATCH('Prior YTD Data Table'!$C98,'Prior YTD Data Pull'!$A$2:$A$605,0),MATCH("Salary and Benefit Expense",'Prior YTD Data Pull'!$A$1:$CB$1,0)),"")</f>
        <v>88214000</v>
      </c>
      <c r="AW98" s="47"/>
      <c r="AX98" s="47"/>
      <c r="AY98" s="47"/>
      <c r="AZ98" s="47"/>
    </row>
    <row r="99" spans="1:52" ht="34.200000000000003" x14ac:dyDescent="0.3">
      <c r="A99" s="14" t="str">
        <f>IFERROR(INDEX('Static Data Tab'!$N$2:$N$610,MATCH(D99,'Static Data Tab'!$D$2:$D$610,0)), "")</f>
        <v>Beth Israel Lahey Health</v>
      </c>
      <c r="B99" s="57" t="s">
        <v>107</v>
      </c>
      <c r="C99" s="57">
        <v>14422</v>
      </c>
      <c r="D99" s="57">
        <v>16665</v>
      </c>
      <c r="E99" s="14" t="str">
        <f>IFERROR(INDEX('Prior YTD Data Pull'!$A$1:$CB$605,MATCH('Prior YTD Data Table'!$C99,'Prior YTD Data Pull'!$A$1:$A$605,0),MATCH("Organization Type",'Prior YTD Data Pull'!$A$1:$CB$1,0)),"")</f>
        <v>PhysicianOrganization</v>
      </c>
      <c r="F99" s="14" t="str">
        <f>IFERROR(INDEX('Static Data Tab'!$E$2:$E$610,MATCH('Prior YTD Data Table'!$C99,'Static Data Tab'!$B$2:$B$610,0)), "-")</f>
        <v>-</v>
      </c>
      <c r="G99" s="46" t="str">
        <f>IFERROR(INDEX('Static Data Tab'!$J$2:$J$610,MATCH('Prior YTD Data Table'!$C99,'Static Data Tab'!$B$2:$B$610,0)), "")</f>
        <v/>
      </c>
      <c r="H99" s="14" t="str">
        <f>IFERROR(INDEX('Static Data Tab'!$F$2:$F$610,MATCH('Prior YTD Data Table'!$C99,'Static Data Tab'!$B$2:$B$610,0)), "")</f>
        <v/>
      </c>
      <c r="I99" s="14" t="str">
        <f>IFERROR(INDEX('Static Data Tab'!$G$2:$G$610,MATCH('Prior YTD Data Table'!$C99,'Static Data Tab'!$B$2:$B$610,0)), "")</f>
        <v/>
      </c>
      <c r="J99" s="14" t="str">
        <f>IFERROR(INDEX('Prior YTD Data Pull'!$A$2:$CB$605,MATCH('Prior YTD Data Table'!$C99,'Prior YTD Data Pull'!$A$2:$A$605,0),MATCH("Quarter Range",'Prior YTD Data Pull'!$A$1:$CB$1,0)),"")</f>
        <v xml:space="preserve">10/01/2024-03/31/2025
</v>
      </c>
      <c r="K99" s="37">
        <f t="shared" si="15"/>
        <v>-0.50197407776669989</v>
      </c>
      <c r="L99" s="37">
        <f t="shared" si="16"/>
        <v>-3.9880358923230307E-5</v>
      </c>
      <c r="M99" s="37">
        <f t="shared" si="17"/>
        <v>-0.50201395812562311</v>
      </c>
      <c r="N99" s="38">
        <f t="shared" si="18"/>
        <v>-12588000</v>
      </c>
      <c r="O99" s="39" t="str">
        <f t="shared" si="19"/>
        <v/>
      </c>
      <c r="P99" s="38">
        <f>IFERROR(INDEX('Prior YTD Data Pull'!$A$2:$CB$605,MATCH('Prior YTD Data Table'!$C99,'Prior YTD Data Pull'!$A$2:$A$605,0),MATCH("Total Net Assets or Equity",'Prior YTD Data Pull'!$A$1:$CB$1,0)),"")</f>
        <v>0</v>
      </c>
      <c r="Q99" s="38">
        <f>IFERROR(INDEX('Prior YTD Data Pull'!$A$2:$CB$605,MATCH('Prior YTD Data Table'!$C99,'Prior YTD Data Pull'!$A$2:$A$605,0),MATCH("Total Operating Revenue",'Prior YTD Data Pull'!$A$1:$CB$1,0)),"")</f>
        <v>25076000</v>
      </c>
      <c r="R99" s="38">
        <f>IFERROR(INDEX('Prior YTD Data Pull'!$A$2:$CB$605,MATCH('Prior YTD Data Table'!$C99,'Prior YTD Data Pull'!$A$2:$A$605,0),MATCH("Total Unrestricted Revenue Gains and Other Support",'Prior YTD Data Pull'!$A$1:$CB$1,0)),"")</f>
        <v>25075000</v>
      </c>
      <c r="S99" s="38">
        <f>IFERROR(INDEX('Prior YTD TS Data Pull'!$J$2:$J$128,MATCH('Prior YTD Data Table'!$C99, 'Prior YTD TS Data Pull'!$A$2:$A$128,0))+INDEX('Prior YTD TS Data Pull'!$N$2:$N$128,MATCH('Prior YTD Data Table'!$C99,'Prior YTD TS Data Pull'!$A$2:$A$609,0))+INDEX('Prior YTD TS Data Pull'!$R$2:$R$128,MATCH('Prior YTD Data Table'!$C99,'Prior YTD TS Data Pull'!$A$2:$A$609,0)),"")</f>
        <v>0</v>
      </c>
      <c r="T99" s="38">
        <f>IF(INDEX('Prior YTD TS Data Pull'!$A$1:$O$609,MATCH('Prior YTD Data Table'!$C99,'Prior YTD TS Data Pull'!$A$1:$A$609,0),MATCH("Temporary RN Staffing:
Line Reported on in Standardized Financials",'Prior YTD TS Data Pull'!$A$1:$O$1,0))="66.1: Salary and Benefit Expense",'Prior YTD Data Table'!$AV99-'Prior YTD Data Table'!$S99,0)</f>
        <v>25897000</v>
      </c>
      <c r="U99" s="38">
        <f>IFERROR(INDEX('Prior YTD Data Pull'!$A$2:$CB$605,MATCH('Prior YTD Data Table'!$C99,'Prior YTD Data Pull'!$A$2:$A$605,0),MATCH("Total Expenses Including Nonrecurring Gains Losses",'Prior YTD Data Pull'!$A$1:$CB$1,0)),"")</f>
        <v>37663000</v>
      </c>
      <c r="V99" s="41">
        <f t="shared" si="20"/>
        <v>0</v>
      </c>
      <c r="W99" s="41">
        <f t="shared" si="21"/>
        <v>0</v>
      </c>
      <c r="X99" s="41">
        <f t="shared" si="13"/>
        <v>0</v>
      </c>
      <c r="Y99" s="37" t="str">
        <f t="shared" si="22"/>
        <v/>
      </c>
      <c r="Z99" s="41">
        <f t="shared" si="14"/>
        <v>0</v>
      </c>
      <c r="AA99" s="39" t="str">
        <f t="shared" si="23"/>
        <v/>
      </c>
      <c r="AB99" s="37" t="str">
        <f t="shared" si="24"/>
        <v/>
      </c>
      <c r="AC99" s="37" t="str">
        <f t="shared" si="25"/>
        <v/>
      </c>
      <c r="AD99" s="38">
        <f>IFERROR(INDEX('Prior YTD Data Pull'!$A$2:$CB$605,MATCH('Prior YTD Data Table'!$C99,'Prior YTD Data Pull'!$A$2:$A$605,0),MATCH("Net Patient Service Revenue",'Prior YTD Data Pull'!$A$1:$CB$1,0)),"")</f>
        <v>24958000</v>
      </c>
      <c r="AE99" s="38">
        <f>IFERROR(INDEX('Prior YTD Data Pull'!$A$2:$CB$605,MATCH('Prior YTD Data Table'!$C99,'Prior YTD Data Pull'!$A$2:$A$605,0),MATCH("Total Current Assets",'Prior YTD Data Pull'!$A$1:$CB$1,0)),"")</f>
        <v>0</v>
      </c>
      <c r="AF99" s="38">
        <f>IFERROR(INDEX('Prior YTD Data Pull'!$A$2:$CB$605,MATCH('Prior YTD Data Table'!$C99,'Prior YTD Data Pull'!$A$2:$A$605,0),MATCH("Total Current Liabilities",'Prior YTD Data Pull'!$A$1:$CB$1,0)),"")</f>
        <v>0</v>
      </c>
      <c r="AG99" s="38">
        <f>IFERROR(INDEX('Prior YTD Data Pull'!$A$2:$CB$605,MATCH('Prior YTD Data Table'!$C99,'Prior YTD Data Pull'!$A$2:$A$605,0),MATCH("Total Non Operating Revenue",'Prior YTD Data Pull'!$A$1:$CB$1,0)),"")</f>
        <v>-1000</v>
      </c>
      <c r="AH99" s="38">
        <f>IFERROR(INDEX('Prior YTD Data Pull'!$A$2:$CB$605,MATCH('Prior YTD Data Table'!$C99,'Prior Year Data Pull'!$A$2:$A$593,0),MATCH("Less Accumulated Depreciation",'Prior YTD Data Pull'!$A$1:$CB$1,0)),"")</f>
        <v>0</v>
      </c>
      <c r="AI99" s="38">
        <f>IFERROR(INDEX('Prior YTD Data Pull'!$A$2:$CB$605,MATCH('Prior YTD Data Table'!$C99,'Prior YTD Data Pull'!$A$2:$A$605,0),MATCH("Depreciation and Amortization Expense",'Prior YTD Data Pull'!$A$1:$CB$1,0)),"")</f>
        <v>394000</v>
      </c>
      <c r="AJ99" s="38">
        <f>IFERROR(INDEX('Prior YTD Data Pull'!$A$2:$CB$605,MATCH('Prior YTD Data Table'!$C99,'Prior YTD Data Pull'!$A$2:$A$605,0),MATCH("Net Patient Accounts Receivable",'Prior YTD Data Pull'!$A$1:$CB$1,0)),"")</f>
        <v>0</v>
      </c>
      <c r="AK99" s="14" t="str">
        <f>IF('Prior YTD Data Pull'!$H98 = 6, "183", IF('Prior YTD Data Pull'!$H98 = 3, "93",""))</f>
        <v>183</v>
      </c>
      <c r="AL99" s="38">
        <f>IFERROR(INDEX('Prior YTD Data Pull'!$A$2:$CB$605,MATCH('Prior YTD Data Table'!$C99,'Prior YTD Data Pull'!$A$2:$A$605,0),MATCH("Estimated Third Party Settlements",'Prior YTD Data Pull'!$A$1:$CB$1,0)),"")</f>
        <v>0</v>
      </c>
      <c r="AM99" s="38">
        <f>IFERROR(INDEX('Prior YTD Data Pull'!$A$2:$CB$605,MATCH('Prior YTD Data Table'!$C99,'Prior YTD Data Pull'!$A$2:$A$605,0),MATCH("Current Liabilities due to Affiliates",'Prior YTD Data Pull'!$A$1:$CB$1,0)),"")</f>
        <v>0</v>
      </c>
      <c r="AN99" s="38">
        <f>IFERROR(INDEX('Prior YTD Data Pull'!$A$2:$CB$605,MATCH('Prior YTD Data Table'!$C99,'Prior YTD Data Pull'!$A$2:$A$605,0),MATCH("Short Term Investments",'Prior YTD Data Pull'!$A$1:$CB$1,0)),"")</f>
        <v>0</v>
      </c>
      <c r="AO99" s="38">
        <f>IFERROR(INDEX('Prior YTD Data Pull'!$A$2:$CB$605,MATCH('Prior YTD Data Table'!$C99,'Prior YTD Data Pull'!$A$2:$A$605,0),MATCH("Cash and Cash Equivalents",'Prior YTD Data Pull'!$A$1:$CB$1,0)),"")</f>
        <v>0</v>
      </c>
      <c r="AP99" s="38">
        <f>IFERROR(INDEX('Prior YTD Data Pull'!$A$2:$CB$605,MATCH('Prior YTD Data Table'!$C99,'Prior YTD Data Pull'!$A$2:$A$605,0),MATCH("Interest Expense",'Prior YTD Data Pull'!$A$1:$CB$1,0)),"")</f>
        <v>0</v>
      </c>
      <c r="AQ99" s="38">
        <f>IFERROR(INDEX('Prior YTD Data Pull'!$A$2:$CB$605,MATCH('Prior YTD Data Table'!$C99,'Prior YTD Data Pull'!$A$2:$A$605,0),MATCH("Long Term Debt Net of Current Portion",'Prior YTD Data Pull'!$A$1:$CB$1,0)),"")</f>
        <v>0</v>
      </c>
      <c r="AR99" s="38">
        <f>IFERROR(INDEX('Prior YTD Data Pull'!$A$2:$CB$605,MATCH('Prior YTD Data Table'!$C99,'Prior YTD Data Pull'!$A$2:$A$605,0),MATCH("Total Assets",'Prior YTD Data Pull'!$A$1:$CB$1,0)),"")</f>
        <v>0</v>
      </c>
      <c r="AS99" s="38">
        <f>IFERROR(INDEX('Prior YTD Data Pull'!$A$2:$CB$605,MATCH('Prior YTD Data Table'!$C99,'Prior YTD Data Pull'!$A$2:$A$605,0),MATCH("Long Term Debt Net of Current Portion",'Prior YTD Data Pull'!$A$1:$CB$1,0)),"")</f>
        <v>0</v>
      </c>
      <c r="AT99" s="38">
        <f>IFERROR(INDEX('Prior YTD Data Pull'!$A$2:$CB$605,MATCH('Prior YTD Data Table'!$C99,'Prior YTD Data Pull'!$A$2:$A$605,0),MATCH("Net Unrestricted Assets",'Prior YTD Data Pull'!$A$1:$CB$1,0)),"")</f>
        <v>0</v>
      </c>
      <c r="AU99" s="38">
        <f>IFERROR(INDEX('Prior YTD Data Pull'!$A$2:$CB$605,MATCH('Prior YTD Data Table'!$C99,'Prior YTD Data Pull'!$A$2:$A$605,0),MATCH("Unrealized Gains/Losses",'Prior YTD Data Pull'!$A$1:$CB$1,0)),"")</f>
        <v>0</v>
      </c>
      <c r="AV99" s="38">
        <f>IFERROR(INDEX('Prior YTD Data Pull'!$A$2:$CB$605,MATCH('Prior YTD Data Table'!$C99,'Prior YTD Data Pull'!$A$2:$A$605,0),MATCH("Salary and Benefit Expense",'Prior YTD Data Pull'!$A$1:$CB$1,0)),"")</f>
        <v>25897000</v>
      </c>
      <c r="AW99" s="47"/>
      <c r="AX99" s="47"/>
      <c r="AY99" s="47"/>
      <c r="AZ99" s="47"/>
    </row>
    <row r="100" spans="1:52" ht="34.200000000000003" x14ac:dyDescent="0.3">
      <c r="A100" s="14" t="str">
        <f>IFERROR(INDEX('Static Data Tab'!$N$2:$N$610,MATCH(D100,'Static Data Tab'!$D$2:$D$610,0)), "")</f>
        <v>Mass General Brigham</v>
      </c>
      <c r="B100" s="14" t="s">
        <v>155</v>
      </c>
      <c r="C100" s="14">
        <v>16579</v>
      </c>
      <c r="D100" s="14">
        <v>3791</v>
      </c>
      <c r="E100" s="14" t="str">
        <f>IFERROR(INDEX('Prior YTD Data Pull'!$A$1:$CB$605,MATCH('Prior YTD Data Table'!$C100,'Prior YTD Data Pull'!$A$1:$A$605,0),MATCH("Organization Type",'Prior YTD Data Pull'!$A$1:$CB$1,0)),"")</f>
        <v>PhysicianOrganization</v>
      </c>
      <c r="F100" s="14" t="str">
        <f>IFERROR(INDEX('Static Data Tab'!$E$2:$E$610,MATCH('Prior YTD Data Table'!$C100,'Static Data Tab'!$B$2:$B$610,0)), "-")</f>
        <v>-</v>
      </c>
      <c r="G100" s="46" t="str">
        <f>IFERROR(INDEX('Static Data Tab'!$J$2:$J$610,MATCH('Prior YTD Data Table'!$C100,'Static Data Tab'!$B$2:$B$610,0)), "")</f>
        <v/>
      </c>
      <c r="H100" s="14" t="str">
        <f>IFERROR(INDEX('Static Data Tab'!$F$2:$F$610,MATCH('Prior YTD Data Table'!$C100,'Static Data Tab'!$B$2:$B$610,0)), "")</f>
        <v/>
      </c>
      <c r="I100" s="14" t="str">
        <f>IFERROR(INDEX('Static Data Tab'!$G$2:$G$610,MATCH('Prior YTD Data Table'!$C100,'Static Data Tab'!$B$2:$B$610,0)), "")</f>
        <v/>
      </c>
      <c r="J100" s="14" t="str">
        <f>IFERROR(INDEX('Prior YTD Data Pull'!$A$2:$CB$605,MATCH('Prior YTD Data Table'!$C100,'Prior YTD Data Pull'!$A$2:$A$605,0),MATCH("Quarter Range",'Prior YTD Data Pull'!$A$1:$CB$1,0)),"")</f>
        <v xml:space="preserve">10/01/2024-03/31/2025
</v>
      </c>
      <c r="K100" s="37">
        <f t="shared" si="15"/>
        <v>0.24824120603015076</v>
      </c>
      <c r="L100" s="37">
        <f t="shared" si="16"/>
        <v>0</v>
      </c>
      <c r="M100" s="37">
        <f t="shared" si="17"/>
        <v>0.24824120603015076</v>
      </c>
      <c r="N100" s="38">
        <f t="shared" si="18"/>
        <v>247000</v>
      </c>
      <c r="O100" s="39" t="str">
        <f t="shared" si="19"/>
        <v/>
      </c>
      <c r="P100" s="38">
        <f>IFERROR(INDEX('Prior YTD Data Pull'!$A$2:$CB$605,MATCH('Prior YTD Data Table'!$C100,'Prior YTD Data Pull'!$A$2:$A$605,0),MATCH("Total Net Assets or Equity",'Prior YTD Data Pull'!$A$1:$CB$1,0)),"")</f>
        <v>0</v>
      </c>
      <c r="Q100" s="38">
        <f>IFERROR(INDEX('Prior YTD Data Pull'!$A$2:$CB$605,MATCH('Prior YTD Data Table'!$C100,'Prior YTD Data Pull'!$A$2:$A$605,0),MATCH("Total Operating Revenue",'Prior YTD Data Pull'!$A$1:$CB$1,0)),"")</f>
        <v>995000</v>
      </c>
      <c r="R100" s="38">
        <f>IFERROR(INDEX('Prior YTD Data Pull'!$A$2:$CB$605,MATCH('Prior YTD Data Table'!$C100,'Prior YTD Data Pull'!$A$2:$A$605,0),MATCH("Total Unrestricted Revenue Gains and Other Support",'Prior YTD Data Pull'!$A$1:$CB$1,0)),"")</f>
        <v>995000</v>
      </c>
      <c r="S100" s="38">
        <f>IFERROR(INDEX('Prior YTD TS Data Pull'!$J$2:$J$128,MATCH('Prior YTD Data Table'!$C100, 'Prior YTD TS Data Pull'!$A$2:$A$128,0))+INDEX('Prior YTD TS Data Pull'!$N$2:$N$128,MATCH('Prior YTD Data Table'!$C100,'Prior YTD TS Data Pull'!$A$2:$A$609,0))+INDEX('Prior YTD TS Data Pull'!$R$2:$R$128,MATCH('Prior YTD Data Table'!$C100,'Prior YTD TS Data Pull'!$A$2:$A$609,0)),"")</f>
        <v>0</v>
      </c>
      <c r="T100" s="38">
        <f>IF(INDEX('Prior YTD TS Data Pull'!$A$1:$O$609,MATCH('Prior YTD Data Table'!$C100,'Prior YTD TS Data Pull'!$A$1:$A$609,0),MATCH("Temporary RN Staffing:
Line Reported on in Standardized Financials",'Prior YTD TS Data Pull'!$A$1:$O$1,0))="66.1: Salary and Benefit Expense",'Prior YTD Data Table'!$AV100-'Prior YTD Data Table'!$S100,0)</f>
        <v>0</v>
      </c>
      <c r="U100" s="38">
        <f>IFERROR(INDEX('Prior YTD Data Pull'!$A$2:$CB$605,MATCH('Prior YTD Data Table'!$C100,'Prior YTD Data Pull'!$A$2:$A$605,0),MATCH("Total Expenses Including Nonrecurring Gains Losses",'Prior YTD Data Pull'!$A$1:$CB$1,0)),"")</f>
        <v>748000</v>
      </c>
      <c r="V100" s="41" t="str">
        <f t="shared" si="20"/>
        <v/>
      </c>
      <c r="W100" s="41">
        <f t="shared" si="21"/>
        <v>0</v>
      </c>
      <c r="X100" s="41">
        <f t="shared" si="13"/>
        <v>0</v>
      </c>
      <c r="Y100" s="37" t="str">
        <f t="shared" si="22"/>
        <v/>
      </c>
      <c r="Z100" s="41">
        <f t="shared" si="14"/>
        <v>0</v>
      </c>
      <c r="AA100" s="39" t="str">
        <f t="shared" si="23"/>
        <v/>
      </c>
      <c r="AB100" s="37" t="str">
        <f t="shared" si="24"/>
        <v/>
      </c>
      <c r="AC100" s="37" t="str">
        <f t="shared" si="25"/>
        <v/>
      </c>
      <c r="AD100" s="38">
        <f>IFERROR(INDEX('Prior YTD Data Pull'!$A$2:$CB$605,MATCH('Prior YTD Data Table'!$C100,'Prior YTD Data Pull'!$A$2:$A$605,0),MATCH("Net Patient Service Revenue",'Prior YTD Data Pull'!$A$1:$CB$1,0)),"")</f>
        <v>679000</v>
      </c>
      <c r="AE100" s="38">
        <f>IFERROR(INDEX('Prior YTD Data Pull'!$A$2:$CB$605,MATCH('Prior YTD Data Table'!$C100,'Prior YTD Data Pull'!$A$2:$A$605,0),MATCH("Total Current Assets",'Prior YTD Data Pull'!$A$1:$CB$1,0)),"")</f>
        <v>0</v>
      </c>
      <c r="AF100" s="38">
        <f>IFERROR(INDEX('Prior YTD Data Pull'!$A$2:$CB$605,MATCH('Prior YTD Data Table'!$C100,'Prior YTD Data Pull'!$A$2:$A$605,0),MATCH("Total Current Liabilities",'Prior YTD Data Pull'!$A$1:$CB$1,0)),"")</f>
        <v>0</v>
      </c>
      <c r="AG100" s="38">
        <f>IFERROR(INDEX('Prior YTD Data Pull'!$A$2:$CB$605,MATCH('Prior YTD Data Table'!$C100,'Prior YTD Data Pull'!$A$2:$A$605,0),MATCH("Total Non Operating Revenue",'Prior YTD Data Pull'!$A$1:$CB$1,0)),"")</f>
        <v>0</v>
      </c>
      <c r="AH100" s="38">
        <f>IFERROR(INDEX('Prior YTD Data Pull'!$A$2:$CB$605,MATCH('Prior YTD Data Table'!$C100,'Prior Year Data Pull'!$A$2:$A$593,0),MATCH("Less Accumulated Depreciation",'Prior YTD Data Pull'!$A$1:$CB$1,0)),"")</f>
        <v>0</v>
      </c>
      <c r="AI100" s="38">
        <f>IFERROR(INDEX('Prior YTD Data Pull'!$A$2:$CB$605,MATCH('Prior YTD Data Table'!$C100,'Prior YTD Data Pull'!$A$2:$A$605,0),MATCH("Depreciation and Amortization Expense",'Prior YTD Data Pull'!$A$1:$CB$1,0)),"")</f>
        <v>0</v>
      </c>
      <c r="AJ100" s="38">
        <f>IFERROR(INDEX('Prior YTD Data Pull'!$A$2:$CB$605,MATCH('Prior YTD Data Table'!$C100,'Prior YTD Data Pull'!$A$2:$A$605,0),MATCH("Net Patient Accounts Receivable",'Prior YTD Data Pull'!$A$1:$CB$1,0)),"")</f>
        <v>0</v>
      </c>
      <c r="AK100" s="14" t="str">
        <f>IF('Prior YTD Data Pull'!$H99 = 6, "183", IF('Prior YTD Data Pull'!$H99 = 3, "93",""))</f>
        <v>183</v>
      </c>
      <c r="AL100" s="38">
        <f>IFERROR(INDEX('Prior YTD Data Pull'!$A$2:$CB$605,MATCH('Prior YTD Data Table'!$C100,'Prior YTD Data Pull'!$A$2:$A$605,0),MATCH("Estimated Third Party Settlements",'Prior YTD Data Pull'!$A$1:$CB$1,0)),"")</f>
        <v>0</v>
      </c>
      <c r="AM100" s="38">
        <f>IFERROR(INDEX('Prior YTD Data Pull'!$A$2:$CB$605,MATCH('Prior YTD Data Table'!$C100,'Prior YTD Data Pull'!$A$2:$A$605,0),MATCH("Current Liabilities due to Affiliates",'Prior YTD Data Pull'!$A$1:$CB$1,0)),"")</f>
        <v>0</v>
      </c>
      <c r="AN100" s="38">
        <f>IFERROR(INDEX('Prior YTD Data Pull'!$A$2:$CB$605,MATCH('Prior YTD Data Table'!$C100,'Prior YTD Data Pull'!$A$2:$A$605,0),MATCH("Short Term Investments",'Prior YTD Data Pull'!$A$1:$CB$1,0)),"")</f>
        <v>0</v>
      </c>
      <c r="AO100" s="38">
        <f>IFERROR(INDEX('Prior YTD Data Pull'!$A$2:$CB$605,MATCH('Prior YTD Data Table'!$C100,'Prior YTD Data Pull'!$A$2:$A$605,0),MATCH("Cash and Cash Equivalents",'Prior YTD Data Pull'!$A$1:$CB$1,0)),"")</f>
        <v>0</v>
      </c>
      <c r="AP100" s="38">
        <f>IFERROR(INDEX('Prior YTD Data Pull'!$A$2:$CB$605,MATCH('Prior YTD Data Table'!$C100,'Prior YTD Data Pull'!$A$2:$A$605,0),MATCH("Interest Expense",'Prior YTD Data Pull'!$A$1:$CB$1,0)),"")</f>
        <v>0</v>
      </c>
      <c r="AQ100" s="38">
        <f>IFERROR(INDEX('Prior YTD Data Pull'!$A$2:$CB$605,MATCH('Prior YTD Data Table'!$C100,'Prior YTD Data Pull'!$A$2:$A$605,0),MATCH("Long Term Debt Net of Current Portion",'Prior YTD Data Pull'!$A$1:$CB$1,0)),"")</f>
        <v>0</v>
      </c>
      <c r="AR100" s="38">
        <f>IFERROR(INDEX('Prior YTD Data Pull'!$A$2:$CB$605,MATCH('Prior YTD Data Table'!$C100,'Prior YTD Data Pull'!$A$2:$A$605,0),MATCH("Total Assets",'Prior YTD Data Pull'!$A$1:$CB$1,0)),"")</f>
        <v>0</v>
      </c>
      <c r="AS100" s="38">
        <f>IFERROR(INDEX('Prior YTD Data Pull'!$A$2:$CB$605,MATCH('Prior YTD Data Table'!$C100,'Prior YTD Data Pull'!$A$2:$A$605,0),MATCH("Long Term Debt Net of Current Portion",'Prior YTD Data Pull'!$A$1:$CB$1,0)),"")</f>
        <v>0</v>
      </c>
      <c r="AT100" s="38">
        <f>IFERROR(INDEX('Prior YTD Data Pull'!$A$2:$CB$605,MATCH('Prior YTD Data Table'!$C100,'Prior YTD Data Pull'!$A$2:$A$605,0),MATCH("Net Unrestricted Assets",'Prior YTD Data Pull'!$A$1:$CB$1,0)),"")</f>
        <v>0</v>
      </c>
      <c r="AU100" s="38">
        <f>IFERROR(INDEX('Prior YTD Data Pull'!$A$2:$CB$605,MATCH('Prior YTD Data Table'!$C100,'Prior YTD Data Pull'!$A$2:$A$605,0),MATCH("Unrealized Gains/Losses",'Prior YTD Data Pull'!$A$1:$CB$1,0)),"")</f>
        <v>0</v>
      </c>
      <c r="AV100" s="38">
        <f>IFERROR(INDEX('Prior YTD Data Pull'!$A$2:$CB$605,MATCH('Prior YTD Data Table'!$C100,'Prior YTD Data Pull'!$A$2:$A$605,0),MATCH("Salary and Benefit Expense",'Prior YTD Data Pull'!$A$1:$CB$1,0)),"")</f>
        <v>3000</v>
      </c>
      <c r="AW100" s="38"/>
      <c r="AX100" s="38"/>
      <c r="AY100" s="38"/>
      <c r="AZ100" s="38"/>
    </row>
    <row r="101" spans="1:52" ht="34.200000000000003" x14ac:dyDescent="0.3">
      <c r="A101" s="14" t="str">
        <f>IFERROR(INDEX('Static Data Tab'!$N$2:$N$610,MATCH(D101,'Static Data Tab'!$D$2:$D$610,0)), "")</f>
        <v>Beth Israel Lahey Health</v>
      </c>
      <c r="B101" s="14" t="s">
        <v>110</v>
      </c>
      <c r="C101" s="14">
        <v>11408</v>
      </c>
      <c r="D101" s="14">
        <v>16665</v>
      </c>
      <c r="E101" s="14" t="str">
        <f>IFERROR(INDEX('Prior YTD Data Pull'!$A$1:$CB$605,MATCH('Prior YTD Data Table'!$C101,'Prior YTD Data Pull'!$A$1:$A$605,0),MATCH("Organization Type",'Prior YTD Data Pull'!$A$1:$CB$1,0)),"")</f>
        <v>PhysicianOrganization</v>
      </c>
      <c r="F101" s="14" t="str">
        <f>IFERROR(INDEX('Static Data Tab'!$E$2:$E$610,MATCH('Prior YTD Data Table'!$C101,'Static Data Tab'!$B$2:$B$610,0)), "-")</f>
        <v>-</v>
      </c>
      <c r="G101" s="46" t="str">
        <f>IFERROR(INDEX('Static Data Tab'!$J$2:$J$610,MATCH('Prior YTD Data Table'!$C101,'Static Data Tab'!$B$2:$B$610,0)), "")</f>
        <v/>
      </c>
      <c r="H101" s="14" t="str">
        <f>IFERROR(INDEX('Static Data Tab'!$F$2:$F$610,MATCH('Prior YTD Data Table'!$C101,'Static Data Tab'!$B$2:$B$610,0)), "")</f>
        <v/>
      </c>
      <c r="I101" s="14" t="str">
        <f>IFERROR(INDEX('Static Data Tab'!$G$2:$G$610,MATCH('Prior YTD Data Table'!$C101,'Static Data Tab'!$B$2:$B$610,0)), "")</f>
        <v/>
      </c>
      <c r="J101" s="14" t="str">
        <f>IFERROR(INDEX('Prior YTD Data Pull'!$A$2:$CB$605,MATCH('Prior YTD Data Table'!$C101,'Prior YTD Data Pull'!$A$2:$A$605,0),MATCH("Quarter Range",'Prior YTD Data Pull'!$A$1:$CB$1,0)),"")</f>
        <v xml:space="preserve">10/01/2024-03/31/2025
</v>
      </c>
      <c r="K101" s="37">
        <f t="shared" si="15"/>
        <v>-0.50111799655018208</v>
      </c>
      <c r="L101" s="37">
        <f t="shared" si="16"/>
        <v>-1.9708682041781129E-2</v>
      </c>
      <c r="M101" s="37">
        <f t="shared" si="17"/>
        <v>-0.52082667859196319</v>
      </c>
      <c r="N101" s="38">
        <f t="shared" si="18"/>
        <v>-16305000</v>
      </c>
      <c r="O101" s="39" t="str">
        <f t="shared" si="19"/>
        <v/>
      </c>
      <c r="P101" s="38">
        <f>IFERROR(INDEX('Prior YTD Data Pull'!$A$2:$CB$605,MATCH('Prior YTD Data Table'!$C101,'Prior YTD Data Pull'!$A$2:$A$605,0),MATCH("Total Net Assets or Equity",'Prior YTD Data Pull'!$A$1:$CB$1,0)),"")</f>
        <v>0</v>
      </c>
      <c r="Q101" s="38">
        <f>IFERROR(INDEX('Prior YTD Data Pull'!$A$2:$CB$605,MATCH('Prior YTD Data Table'!$C101,'Prior YTD Data Pull'!$A$2:$A$605,0),MATCH("Total Operating Revenue",'Prior YTD Data Pull'!$A$1:$CB$1,0)),"")</f>
        <v>31923000</v>
      </c>
      <c r="R101" s="38">
        <f>IFERROR(INDEX('Prior YTD Data Pull'!$A$2:$CB$605,MATCH('Prior YTD Data Table'!$C101,'Prior YTD Data Pull'!$A$2:$A$605,0),MATCH("Total Unrestricted Revenue Gains and Other Support",'Prior YTD Data Pull'!$A$1:$CB$1,0)),"")</f>
        <v>31306000</v>
      </c>
      <c r="S101" s="38">
        <f>IFERROR(INDEX('Prior YTD TS Data Pull'!$J$2:$J$128,MATCH('Prior YTD Data Table'!$C101, 'Prior YTD TS Data Pull'!$A$2:$A$128,0))+INDEX('Prior YTD TS Data Pull'!$N$2:$N$128,MATCH('Prior YTD Data Table'!$C101,'Prior YTD TS Data Pull'!$A$2:$A$609,0))+INDEX('Prior YTD TS Data Pull'!$R$2:$R$128,MATCH('Prior YTD Data Table'!$C101,'Prior YTD TS Data Pull'!$A$2:$A$609,0)),"")</f>
        <v>0</v>
      </c>
      <c r="T101" s="38">
        <f>IF(INDEX('Prior YTD TS Data Pull'!$A$1:$O$609,MATCH('Prior YTD Data Table'!$C101,'Prior YTD TS Data Pull'!$A$1:$A$609,0),MATCH("Temporary RN Staffing:
Line Reported on in Standardized Financials",'Prior YTD TS Data Pull'!$A$1:$O$1,0))="66.1: Salary and Benefit Expense",'Prior YTD Data Table'!$AV101-'Prior YTD Data Table'!$S101,0)</f>
        <v>31134000</v>
      </c>
      <c r="U101" s="38">
        <f>IFERROR(INDEX('Prior YTD Data Pull'!$A$2:$CB$605,MATCH('Prior YTD Data Table'!$C101,'Prior YTD Data Pull'!$A$2:$A$605,0),MATCH("Total Expenses Including Nonrecurring Gains Losses",'Prior YTD Data Pull'!$A$1:$CB$1,0)),"")</f>
        <v>47611000</v>
      </c>
      <c r="V101" s="41">
        <f t="shared" si="20"/>
        <v>5827.8400622608697</v>
      </c>
      <c r="W101" s="41">
        <f t="shared" si="21"/>
        <v>0</v>
      </c>
      <c r="X101" s="41">
        <f t="shared" si="13"/>
        <v>0</v>
      </c>
      <c r="Y101" s="37" t="str">
        <f t="shared" si="22"/>
        <v/>
      </c>
      <c r="Z101" s="41">
        <f t="shared" si="14"/>
        <v>0</v>
      </c>
      <c r="AA101" s="39" t="str">
        <f t="shared" si="23"/>
        <v/>
      </c>
      <c r="AB101" s="37" t="str">
        <f t="shared" si="24"/>
        <v/>
      </c>
      <c r="AC101" s="37" t="str">
        <f t="shared" si="25"/>
        <v/>
      </c>
      <c r="AD101" s="38">
        <f>IFERROR(INDEX('Prior YTD Data Pull'!$A$2:$CB$605,MATCH('Prior YTD Data Table'!$C101,'Prior YTD Data Pull'!$A$2:$A$605,0),MATCH("Net Patient Service Revenue",'Prior YTD Data Pull'!$A$1:$CB$1,0)),"")</f>
        <v>31246000</v>
      </c>
      <c r="AE101" s="38">
        <f>IFERROR(INDEX('Prior YTD Data Pull'!$A$2:$CB$605,MATCH('Prior YTD Data Table'!$C101,'Prior YTD Data Pull'!$A$2:$A$605,0),MATCH("Total Current Assets",'Prior YTD Data Pull'!$A$1:$CB$1,0)),"")</f>
        <v>0</v>
      </c>
      <c r="AF101" s="38">
        <f>IFERROR(INDEX('Prior YTD Data Pull'!$A$2:$CB$605,MATCH('Prior YTD Data Table'!$C101,'Prior YTD Data Pull'!$A$2:$A$605,0),MATCH("Total Current Liabilities",'Prior YTD Data Pull'!$A$1:$CB$1,0)),"")</f>
        <v>0</v>
      </c>
      <c r="AG101" s="38">
        <f>IFERROR(INDEX('Prior YTD Data Pull'!$A$2:$CB$605,MATCH('Prior YTD Data Table'!$C101,'Prior YTD Data Pull'!$A$2:$A$605,0),MATCH("Total Non Operating Revenue",'Prior YTD Data Pull'!$A$1:$CB$1,0)),"")</f>
        <v>-617000</v>
      </c>
      <c r="AH101" s="38">
        <f>IFERROR(INDEX('Prior YTD Data Pull'!$A$2:$CB$605,MATCH('Prior YTD Data Table'!$C101,'Prior Year Data Pull'!$A$2:$A$593,0),MATCH("Less Accumulated Depreciation",'Prior YTD Data Pull'!$A$1:$CB$1,0)),"")</f>
        <v>1340403214.3199999</v>
      </c>
      <c r="AI101" s="38">
        <f>IFERROR(INDEX('Prior YTD Data Pull'!$A$2:$CB$605,MATCH('Prior YTD Data Table'!$C101,'Prior YTD Data Pull'!$A$2:$A$605,0),MATCH("Depreciation and Amortization Expense",'Prior YTD Data Pull'!$A$1:$CB$1,0)),"")</f>
        <v>230000</v>
      </c>
      <c r="AJ101" s="38">
        <f>IFERROR(INDEX('Prior YTD Data Pull'!$A$2:$CB$605,MATCH('Prior YTD Data Table'!$C101,'Prior YTD Data Pull'!$A$2:$A$605,0),MATCH("Net Patient Accounts Receivable",'Prior YTD Data Pull'!$A$1:$CB$1,0)),"")</f>
        <v>0</v>
      </c>
      <c r="AK101" s="14" t="str">
        <f>IF('Prior YTD Data Pull'!$H100 = 6, "183", IF('Prior YTD Data Pull'!$H100 = 3, "93",""))</f>
        <v>183</v>
      </c>
      <c r="AL101" s="38">
        <f>IFERROR(INDEX('Prior YTD Data Pull'!$A$2:$CB$605,MATCH('Prior YTD Data Table'!$C101,'Prior YTD Data Pull'!$A$2:$A$605,0),MATCH("Estimated Third Party Settlements",'Prior YTD Data Pull'!$A$1:$CB$1,0)),"")</f>
        <v>0</v>
      </c>
      <c r="AM101" s="38">
        <f>IFERROR(INDEX('Prior YTD Data Pull'!$A$2:$CB$605,MATCH('Prior YTD Data Table'!$C101,'Prior YTD Data Pull'!$A$2:$A$605,0),MATCH("Current Liabilities due to Affiliates",'Prior YTD Data Pull'!$A$1:$CB$1,0)),"")</f>
        <v>0</v>
      </c>
      <c r="AN101" s="38">
        <f>IFERROR(INDEX('Prior YTD Data Pull'!$A$2:$CB$605,MATCH('Prior YTD Data Table'!$C101,'Prior YTD Data Pull'!$A$2:$A$605,0),MATCH("Short Term Investments",'Prior YTD Data Pull'!$A$1:$CB$1,0)),"")</f>
        <v>0</v>
      </c>
      <c r="AO101" s="38">
        <f>IFERROR(INDEX('Prior YTD Data Pull'!$A$2:$CB$605,MATCH('Prior YTD Data Table'!$C101,'Prior YTD Data Pull'!$A$2:$A$605,0),MATCH("Cash and Cash Equivalents",'Prior YTD Data Pull'!$A$1:$CB$1,0)),"")</f>
        <v>0</v>
      </c>
      <c r="AP101" s="38">
        <f>IFERROR(INDEX('Prior YTD Data Pull'!$A$2:$CB$605,MATCH('Prior YTD Data Table'!$C101,'Prior YTD Data Pull'!$A$2:$A$605,0),MATCH("Interest Expense",'Prior YTD Data Pull'!$A$1:$CB$1,0)),"")</f>
        <v>0</v>
      </c>
      <c r="AQ101" s="38">
        <f>IFERROR(INDEX('Prior YTD Data Pull'!$A$2:$CB$605,MATCH('Prior YTD Data Table'!$C101,'Prior YTD Data Pull'!$A$2:$A$605,0),MATCH("Long Term Debt Net of Current Portion",'Prior YTD Data Pull'!$A$1:$CB$1,0)),"")</f>
        <v>0</v>
      </c>
      <c r="AR101" s="38">
        <f>IFERROR(INDEX('Prior YTD Data Pull'!$A$2:$CB$605,MATCH('Prior YTD Data Table'!$C101,'Prior YTD Data Pull'!$A$2:$A$605,0),MATCH("Total Assets",'Prior YTD Data Pull'!$A$1:$CB$1,0)),"")</f>
        <v>0</v>
      </c>
      <c r="AS101" s="38">
        <f>IFERROR(INDEX('Prior YTD Data Pull'!$A$2:$CB$605,MATCH('Prior YTD Data Table'!$C101,'Prior YTD Data Pull'!$A$2:$A$605,0),MATCH("Long Term Debt Net of Current Portion",'Prior YTD Data Pull'!$A$1:$CB$1,0)),"")</f>
        <v>0</v>
      </c>
      <c r="AT101" s="38">
        <f>IFERROR(INDEX('Prior YTD Data Pull'!$A$2:$CB$605,MATCH('Prior YTD Data Table'!$C101,'Prior YTD Data Pull'!$A$2:$A$605,0),MATCH("Net Unrestricted Assets",'Prior YTD Data Pull'!$A$1:$CB$1,0)),"")</f>
        <v>0</v>
      </c>
      <c r="AU101" s="38">
        <f>IFERROR(INDEX('Prior YTD Data Pull'!$A$2:$CB$605,MATCH('Prior YTD Data Table'!$C101,'Prior YTD Data Pull'!$A$2:$A$605,0),MATCH("Unrealized Gains/Losses",'Prior YTD Data Pull'!$A$1:$CB$1,0)),"")</f>
        <v>0</v>
      </c>
      <c r="AV101" s="38">
        <f>IFERROR(INDEX('Prior YTD Data Pull'!$A$2:$CB$605,MATCH('Prior YTD Data Table'!$C101,'Prior YTD Data Pull'!$A$2:$A$605,0),MATCH("Salary and Benefit Expense",'Prior YTD Data Pull'!$A$1:$CB$1,0)),"")</f>
        <v>31134000</v>
      </c>
      <c r="AW101" s="47"/>
      <c r="AX101" s="47"/>
      <c r="AY101" s="47"/>
      <c r="AZ101" s="47"/>
    </row>
    <row r="102" spans="1:52" ht="34.200000000000003" x14ac:dyDescent="0.3">
      <c r="A102" s="14" t="str">
        <f>IFERROR(INDEX('Static Data Tab'!$N$2:$N$610,MATCH(D102,'Static Data Tab'!$D$2:$D$610,0)), "")</f>
        <v>Beth Israel Lahey Health</v>
      </c>
      <c r="B102" s="57" t="s">
        <v>112</v>
      </c>
      <c r="C102" s="57">
        <v>12022</v>
      </c>
      <c r="D102" s="57">
        <v>16665</v>
      </c>
      <c r="E102" s="14" t="str">
        <f>IFERROR(INDEX('Prior YTD Data Pull'!$A$1:$CB$605,MATCH('Prior YTD Data Table'!$C102,'Prior YTD Data Pull'!$A$1:$A$605,0),MATCH("Organization Type",'Prior YTD Data Pull'!$A$1:$CB$1,0)),"")</f>
        <v>PhysicianOrganization</v>
      </c>
      <c r="F102" s="14" t="str">
        <f>IFERROR(INDEX('Static Data Tab'!$E$2:$E$610,MATCH('Prior YTD Data Table'!$C102,'Static Data Tab'!$B$2:$B$610,0)), "-")</f>
        <v>-</v>
      </c>
      <c r="G102" s="46" t="str">
        <f>IFERROR(INDEX('Static Data Tab'!$J$2:$J$610,MATCH('Prior YTD Data Table'!$C102,'Static Data Tab'!$B$2:$B$610,0)), "")</f>
        <v/>
      </c>
      <c r="H102" s="14" t="str">
        <f>IFERROR(INDEX('Static Data Tab'!$F$2:$F$610,MATCH('Prior YTD Data Table'!$C102,'Static Data Tab'!$B$2:$B$610,0)), "")</f>
        <v/>
      </c>
      <c r="I102" s="14" t="str">
        <f>IFERROR(INDEX('Static Data Tab'!$G$2:$G$610,MATCH('Prior YTD Data Table'!$C102,'Static Data Tab'!$B$2:$B$610,0)), "")</f>
        <v/>
      </c>
      <c r="J102" s="14" t="str">
        <f>IFERROR(INDEX('Prior YTD Data Pull'!$A$2:$CB$605,MATCH('Prior YTD Data Table'!$C102,'Prior YTD Data Pull'!$A$2:$A$605,0),MATCH("Quarter Range",'Prior YTD Data Pull'!$A$1:$CB$1,0)),"")</f>
        <v xml:space="preserve">10/01/2024-03/31/2025
</v>
      </c>
      <c r="K102" s="37">
        <f t="shared" si="15"/>
        <v>-0.1033439576468046</v>
      </c>
      <c r="L102" s="37">
        <f t="shared" si="16"/>
        <v>0</v>
      </c>
      <c r="M102" s="37">
        <f t="shared" si="17"/>
        <v>-0.1033439576468046</v>
      </c>
      <c r="N102" s="38">
        <f t="shared" si="18"/>
        <v>-1913000</v>
      </c>
      <c r="O102" s="39" t="str">
        <f t="shared" si="19"/>
        <v/>
      </c>
      <c r="P102" s="38">
        <f>IFERROR(INDEX('Prior YTD Data Pull'!$A$2:$CB$605,MATCH('Prior YTD Data Table'!$C102,'Prior YTD Data Pull'!$A$2:$A$605,0),MATCH("Total Net Assets or Equity",'Prior YTD Data Pull'!$A$1:$CB$1,0)),"")</f>
        <v>0</v>
      </c>
      <c r="Q102" s="38">
        <f>IFERROR(INDEX('Prior YTD Data Pull'!$A$2:$CB$605,MATCH('Prior YTD Data Table'!$C102,'Prior YTD Data Pull'!$A$2:$A$605,0),MATCH("Total Operating Revenue",'Prior YTD Data Pull'!$A$1:$CB$1,0)),"")</f>
        <v>18511000</v>
      </c>
      <c r="R102" s="38">
        <f>IFERROR(INDEX('Prior YTD Data Pull'!$A$2:$CB$605,MATCH('Prior YTD Data Table'!$C102,'Prior YTD Data Pull'!$A$2:$A$605,0),MATCH("Total Unrestricted Revenue Gains and Other Support",'Prior YTD Data Pull'!$A$1:$CB$1,0)),"")</f>
        <v>18511000</v>
      </c>
      <c r="S102" s="38">
        <f>IFERROR(INDEX('Prior YTD TS Data Pull'!$J$2:$J$128,MATCH('Prior YTD Data Table'!$C102, 'Prior YTD TS Data Pull'!$A$2:$A$128,0))+INDEX('Prior YTD TS Data Pull'!$N$2:$N$128,MATCH('Prior YTD Data Table'!$C102,'Prior YTD TS Data Pull'!$A$2:$A$609,0))+INDEX('Prior YTD TS Data Pull'!$R$2:$R$128,MATCH('Prior YTD Data Table'!$C102,'Prior YTD TS Data Pull'!$A$2:$A$609,0)),"")</f>
        <v>0</v>
      </c>
      <c r="T102" s="38">
        <f>IF(INDEX('Prior YTD TS Data Pull'!$A$1:$O$609,MATCH('Prior YTD Data Table'!$C102,'Prior YTD TS Data Pull'!$A$1:$A$609,0),MATCH("Temporary RN Staffing:
Line Reported on in Standardized Financials",'Prior YTD TS Data Pull'!$A$1:$O$1,0))="66.1: Salary and Benefit Expense",'Prior YTD Data Table'!$AV102-'Prior YTD Data Table'!$S102,0)</f>
        <v>14436000</v>
      </c>
      <c r="U102" s="38">
        <f>IFERROR(INDEX('Prior YTD Data Pull'!$A$2:$CB$605,MATCH('Prior YTD Data Table'!$C102,'Prior YTD Data Pull'!$A$2:$A$605,0),MATCH("Total Expenses Including Nonrecurring Gains Losses",'Prior YTD Data Pull'!$A$1:$CB$1,0)),"")</f>
        <v>20424000</v>
      </c>
      <c r="V102" s="41">
        <f t="shared" si="20"/>
        <v>0</v>
      </c>
      <c r="W102" s="41">
        <f t="shared" si="21"/>
        <v>0</v>
      </c>
      <c r="X102" s="41">
        <f t="shared" si="13"/>
        <v>0</v>
      </c>
      <c r="Y102" s="37" t="str">
        <f t="shared" si="22"/>
        <v/>
      </c>
      <c r="Z102" s="41">
        <f t="shared" si="14"/>
        <v>0</v>
      </c>
      <c r="AA102" s="39" t="str">
        <f t="shared" si="23"/>
        <v/>
      </c>
      <c r="AB102" s="37" t="str">
        <f t="shared" si="24"/>
        <v/>
      </c>
      <c r="AC102" s="37" t="str">
        <f t="shared" si="25"/>
        <v/>
      </c>
      <c r="AD102" s="38">
        <f>IFERROR(INDEX('Prior YTD Data Pull'!$A$2:$CB$605,MATCH('Prior YTD Data Table'!$C102,'Prior YTD Data Pull'!$A$2:$A$605,0),MATCH("Net Patient Service Revenue",'Prior YTD Data Pull'!$A$1:$CB$1,0)),"")</f>
        <v>17906000</v>
      </c>
      <c r="AE102" s="38">
        <f>IFERROR(INDEX('Prior YTD Data Pull'!$A$2:$CB$605,MATCH('Prior YTD Data Table'!$C102,'Prior YTD Data Pull'!$A$2:$A$605,0),MATCH("Total Current Assets",'Prior YTD Data Pull'!$A$1:$CB$1,0)),"")</f>
        <v>0</v>
      </c>
      <c r="AF102" s="38">
        <f>IFERROR(INDEX('Prior YTD Data Pull'!$A$2:$CB$605,MATCH('Prior YTD Data Table'!$C102,'Prior YTD Data Pull'!$A$2:$A$605,0),MATCH("Total Current Liabilities",'Prior YTD Data Pull'!$A$1:$CB$1,0)),"")</f>
        <v>0</v>
      </c>
      <c r="AG102" s="38">
        <f>IFERROR(INDEX('Prior YTD Data Pull'!$A$2:$CB$605,MATCH('Prior YTD Data Table'!$C102,'Prior YTD Data Pull'!$A$2:$A$605,0),MATCH("Total Non Operating Revenue",'Prior YTD Data Pull'!$A$1:$CB$1,0)),"")</f>
        <v>0</v>
      </c>
      <c r="AH102" s="38">
        <f>IFERROR(INDEX('Prior YTD Data Pull'!$A$2:$CB$605,MATCH('Prior YTD Data Table'!$C102,'Prior Year Data Pull'!$A$2:$A$593,0),MATCH("Less Accumulated Depreciation",'Prior YTD Data Pull'!$A$1:$CB$1,0)),"")</f>
        <v>0</v>
      </c>
      <c r="AI102" s="38">
        <f>IFERROR(INDEX('Prior YTD Data Pull'!$A$2:$CB$605,MATCH('Prior YTD Data Table'!$C102,'Prior YTD Data Pull'!$A$2:$A$605,0),MATCH("Depreciation and Amortization Expense",'Prior YTD Data Pull'!$A$1:$CB$1,0)),"")</f>
        <v>110000</v>
      </c>
      <c r="AJ102" s="38">
        <f>IFERROR(INDEX('Prior YTD Data Pull'!$A$2:$CB$605,MATCH('Prior YTD Data Table'!$C102,'Prior YTD Data Pull'!$A$2:$A$605,0),MATCH("Net Patient Accounts Receivable",'Prior YTD Data Pull'!$A$1:$CB$1,0)),"")</f>
        <v>0</v>
      </c>
      <c r="AK102" s="14" t="str">
        <f>IF('Prior YTD Data Pull'!$H101 = 6, "183", IF('Prior YTD Data Pull'!$H101 = 3, "93",""))</f>
        <v>183</v>
      </c>
      <c r="AL102" s="38">
        <f>IFERROR(INDEX('Prior YTD Data Pull'!$A$2:$CB$605,MATCH('Prior YTD Data Table'!$C102,'Prior YTD Data Pull'!$A$2:$A$605,0),MATCH("Estimated Third Party Settlements",'Prior YTD Data Pull'!$A$1:$CB$1,0)),"")</f>
        <v>0</v>
      </c>
      <c r="AM102" s="38">
        <f>IFERROR(INDEX('Prior YTD Data Pull'!$A$2:$CB$605,MATCH('Prior YTD Data Table'!$C102,'Prior YTD Data Pull'!$A$2:$A$605,0),MATCH("Current Liabilities due to Affiliates",'Prior YTD Data Pull'!$A$1:$CB$1,0)),"")</f>
        <v>0</v>
      </c>
      <c r="AN102" s="38">
        <f>IFERROR(INDEX('Prior YTD Data Pull'!$A$2:$CB$605,MATCH('Prior YTD Data Table'!$C102,'Prior YTD Data Pull'!$A$2:$A$605,0),MATCH("Short Term Investments",'Prior YTD Data Pull'!$A$1:$CB$1,0)),"")</f>
        <v>0</v>
      </c>
      <c r="AO102" s="38">
        <f>IFERROR(INDEX('Prior YTD Data Pull'!$A$2:$CB$605,MATCH('Prior YTD Data Table'!$C102,'Prior YTD Data Pull'!$A$2:$A$605,0),MATCH("Cash and Cash Equivalents",'Prior YTD Data Pull'!$A$1:$CB$1,0)),"")</f>
        <v>0</v>
      </c>
      <c r="AP102" s="38">
        <f>IFERROR(INDEX('Prior YTD Data Pull'!$A$2:$CB$605,MATCH('Prior YTD Data Table'!$C102,'Prior YTD Data Pull'!$A$2:$A$605,0),MATCH("Interest Expense",'Prior YTD Data Pull'!$A$1:$CB$1,0)),"")</f>
        <v>0</v>
      </c>
      <c r="AQ102" s="38">
        <f>IFERROR(INDEX('Prior YTD Data Pull'!$A$2:$CB$605,MATCH('Prior YTD Data Table'!$C102,'Prior YTD Data Pull'!$A$2:$A$605,0),MATCH("Long Term Debt Net of Current Portion",'Prior YTD Data Pull'!$A$1:$CB$1,0)),"")</f>
        <v>0</v>
      </c>
      <c r="AR102" s="38">
        <f>IFERROR(INDEX('Prior YTD Data Pull'!$A$2:$CB$605,MATCH('Prior YTD Data Table'!$C102,'Prior YTD Data Pull'!$A$2:$A$605,0),MATCH("Total Assets",'Prior YTD Data Pull'!$A$1:$CB$1,0)),"")</f>
        <v>0</v>
      </c>
      <c r="AS102" s="38">
        <f>IFERROR(INDEX('Prior YTD Data Pull'!$A$2:$CB$605,MATCH('Prior YTD Data Table'!$C102,'Prior YTD Data Pull'!$A$2:$A$605,0),MATCH("Long Term Debt Net of Current Portion",'Prior YTD Data Pull'!$A$1:$CB$1,0)),"")</f>
        <v>0</v>
      </c>
      <c r="AT102" s="38">
        <f>IFERROR(INDEX('Prior YTD Data Pull'!$A$2:$CB$605,MATCH('Prior YTD Data Table'!$C102,'Prior YTD Data Pull'!$A$2:$A$605,0),MATCH("Net Unrestricted Assets",'Prior YTD Data Pull'!$A$1:$CB$1,0)),"")</f>
        <v>0</v>
      </c>
      <c r="AU102" s="38">
        <f>IFERROR(INDEX('Prior YTD Data Pull'!$A$2:$CB$605,MATCH('Prior YTD Data Table'!$C102,'Prior YTD Data Pull'!$A$2:$A$605,0),MATCH("Unrealized Gains/Losses",'Prior YTD Data Pull'!$A$1:$CB$1,0)),"")</f>
        <v>0</v>
      </c>
      <c r="AV102" s="38">
        <f>IFERROR(INDEX('Prior YTD Data Pull'!$A$2:$CB$605,MATCH('Prior YTD Data Table'!$C102,'Prior YTD Data Pull'!$A$2:$A$605,0),MATCH("Salary and Benefit Expense",'Prior YTD Data Pull'!$A$1:$CB$1,0)),"")</f>
        <v>14436000</v>
      </c>
      <c r="AW102" s="38"/>
      <c r="AX102" s="38"/>
      <c r="AY102" s="38"/>
      <c r="AZ102" s="38"/>
    </row>
    <row r="103" spans="1:52" ht="34.200000000000003" x14ac:dyDescent="0.3">
      <c r="A103" s="14" t="str">
        <f>IFERROR(INDEX('Static Data Tab'!$N$2:$N$610,MATCH(D103,'Static Data Tab'!$D$2:$D$610,0)), "")</f>
        <v>Beth Israel Lahey Health</v>
      </c>
      <c r="B103" s="14" t="s">
        <v>111</v>
      </c>
      <c r="C103" s="14">
        <v>11915</v>
      </c>
      <c r="D103" s="14">
        <v>16665</v>
      </c>
      <c r="E103" s="14" t="str">
        <f>IFERROR(INDEX('Prior YTD Data Pull'!$A$1:$CB$605,MATCH('Prior YTD Data Table'!$C103,'Prior YTD Data Pull'!$A$1:$A$605,0),MATCH("Organization Type",'Prior YTD Data Pull'!$A$1:$CB$1,0)),"")</f>
        <v>PhysicianOrganization</v>
      </c>
      <c r="F103" s="14" t="str">
        <f>IFERROR(INDEX('Static Data Tab'!$E$2:$E$610,MATCH('Prior YTD Data Table'!$C103,'Static Data Tab'!$B$2:$B$610,0)), "-")</f>
        <v>-</v>
      </c>
      <c r="G103" s="46" t="str">
        <f>IFERROR(INDEX('Static Data Tab'!$J$2:$J$610,MATCH('Prior YTD Data Table'!$C103,'Static Data Tab'!$B$2:$B$610,0)), "")</f>
        <v/>
      </c>
      <c r="H103" s="14" t="str">
        <f>IFERROR(INDEX('Static Data Tab'!$F$2:$F$610,MATCH('Prior YTD Data Table'!$C103,'Static Data Tab'!$B$2:$B$610,0)), "")</f>
        <v/>
      </c>
      <c r="I103" s="14" t="str">
        <f>IFERROR(INDEX('Static Data Tab'!$G$2:$G$610,MATCH('Prior YTD Data Table'!$C103,'Static Data Tab'!$B$2:$B$610,0)), "")</f>
        <v/>
      </c>
      <c r="J103" s="14" t="str">
        <f>IFERROR(INDEX('Prior YTD Data Pull'!$A$2:$CB$605,MATCH('Prior YTD Data Table'!$C103,'Prior YTD Data Pull'!$A$2:$A$605,0),MATCH("Quarter Range",'Prior YTD Data Pull'!$A$1:$CB$1,0)),"")</f>
        <v xml:space="preserve">10/01/2024-03/31/2025
</v>
      </c>
      <c r="K103" s="37">
        <f t="shared" si="15"/>
        <v>-0.7148545706371191</v>
      </c>
      <c r="L103" s="37">
        <f t="shared" si="16"/>
        <v>0</v>
      </c>
      <c r="M103" s="37">
        <f t="shared" si="17"/>
        <v>-0.7148545706371191</v>
      </c>
      <c r="N103" s="38">
        <f t="shared" si="18"/>
        <v>-4129000</v>
      </c>
      <c r="O103" s="39" t="str">
        <f t="shared" si="19"/>
        <v/>
      </c>
      <c r="P103" s="38">
        <f>IFERROR(INDEX('Prior YTD Data Pull'!$A$2:$CB$605,MATCH('Prior YTD Data Table'!$C103,'Prior YTD Data Pull'!$A$2:$A$605,0),MATCH("Total Net Assets or Equity",'Prior YTD Data Pull'!$A$1:$CB$1,0)),"")</f>
        <v>0</v>
      </c>
      <c r="Q103" s="38">
        <f>IFERROR(INDEX('Prior YTD Data Pull'!$A$2:$CB$605,MATCH('Prior YTD Data Table'!$C103,'Prior YTD Data Pull'!$A$2:$A$605,0),MATCH("Total Operating Revenue",'Prior YTD Data Pull'!$A$1:$CB$1,0)),"")</f>
        <v>5776000</v>
      </c>
      <c r="R103" s="38">
        <f>IFERROR(INDEX('Prior YTD Data Pull'!$A$2:$CB$605,MATCH('Prior YTD Data Table'!$C103,'Prior YTD Data Pull'!$A$2:$A$605,0),MATCH("Total Unrestricted Revenue Gains and Other Support",'Prior YTD Data Pull'!$A$1:$CB$1,0)),"")</f>
        <v>5776000</v>
      </c>
      <c r="S103" s="38">
        <f>IFERROR(INDEX('Prior YTD TS Data Pull'!$J$2:$J$128,MATCH('Prior YTD Data Table'!$C103, 'Prior YTD TS Data Pull'!$A$2:$A$128,0))+INDEX('Prior YTD TS Data Pull'!$N$2:$N$128,MATCH('Prior YTD Data Table'!$C103,'Prior YTD TS Data Pull'!$A$2:$A$609,0))+INDEX('Prior YTD TS Data Pull'!$R$2:$R$128,MATCH('Prior YTD Data Table'!$C103,'Prior YTD TS Data Pull'!$A$2:$A$609,0)),"")</f>
        <v>0</v>
      </c>
      <c r="T103" s="38">
        <f>IF(INDEX('Prior YTD TS Data Pull'!$A$1:$O$609,MATCH('Prior YTD Data Table'!$C103,'Prior YTD TS Data Pull'!$A$1:$A$609,0),MATCH("Temporary RN Staffing:
Line Reported on in Standardized Financials",'Prior YTD TS Data Pull'!$A$1:$O$1,0))="66.1: Salary and Benefit Expense",'Prior YTD Data Table'!$AV103-'Prior YTD Data Table'!$S103,0)</f>
        <v>7604000</v>
      </c>
      <c r="U103" s="38">
        <f>IFERROR(INDEX('Prior YTD Data Pull'!$A$2:$CB$605,MATCH('Prior YTD Data Table'!$C103,'Prior YTD Data Pull'!$A$2:$A$605,0),MATCH("Total Expenses Including Nonrecurring Gains Losses",'Prior YTD Data Pull'!$A$1:$CB$1,0)),"")</f>
        <v>9905000</v>
      </c>
      <c r="V103" s="41">
        <f t="shared" si="20"/>
        <v>115333.29530476191</v>
      </c>
      <c r="W103" s="41">
        <f t="shared" si="21"/>
        <v>0</v>
      </c>
      <c r="X103" s="41">
        <f t="shared" si="13"/>
        <v>0</v>
      </c>
      <c r="Y103" s="37" t="str">
        <f t="shared" si="22"/>
        <v/>
      </c>
      <c r="Z103" s="41">
        <f t="shared" si="14"/>
        <v>0</v>
      </c>
      <c r="AA103" s="39" t="str">
        <f t="shared" si="23"/>
        <v/>
      </c>
      <c r="AB103" s="37" t="str">
        <f t="shared" si="24"/>
        <v/>
      </c>
      <c r="AC103" s="37" t="str">
        <f t="shared" si="25"/>
        <v/>
      </c>
      <c r="AD103" s="38">
        <f>IFERROR(INDEX('Prior YTD Data Pull'!$A$2:$CB$605,MATCH('Prior YTD Data Table'!$C103,'Prior YTD Data Pull'!$A$2:$A$605,0),MATCH("Net Patient Service Revenue",'Prior YTD Data Pull'!$A$1:$CB$1,0)),"")</f>
        <v>5650000</v>
      </c>
      <c r="AE103" s="38">
        <f>IFERROR(INDEX('Prior YTD Data Pull'!$A$2:$CB$605,MATCH('Prior YTD Data Table'!$C103,'Prior YTD Data Pull'!$A$2:$A$605,0),MATCH("Total Current Assets",'Prior YTD Data Pull'!$A$1:$CB$1,0)),"")</f>
        <v>0</v>
      </c>
      <c r="AF103" s="38">
        <f>IFERROR(INDEX('Prior YTD Data Pull'!$A$2:$CB$605,MATCH('Prior YTD Data Table'!$C103,'Prior YTD Data Pull'!$A$2:$A$605,0),MATCH("Total Current Liabilities",'Prior YTD Data Pull'!$A$1:$CB$1,0)),"")</f>
        <v>0</v>
      </c>
      <c r="AG103" s="38">
        <f>IFERROR(INDEX('Prior YTD Data Pull'!$A$2:$CB$605,MATCH('Prior YTD Data Table'!$C103,'Prior YTD Data Pull'!$A$2:$A$605,0),MATCH("Total Non Operating Revenue",'Prior YTD Data Pull'!$A$1:$CB$1,0)),"")</f>
        <v>0</v>
      </c>
      <c r="AH103" s="38">
        <f>IFERROR(INDEX('Prior YTD Data Pull'!$A$2:$CB$605,MATCH('Prior YTD Data Table'!$C103,'Prior Year Data Pull'!$A$2:$A$593,0),MATCH("Less Accumulated Depreciation",'Prior YTD Data Pull'!$A$1:$CB$1,0)),"")</f>
        <v>12109996007</v>
      </c>
      <c r="AI103" s="38">
        <f>IFERROR(INDEX('Prior YTD Data Pull'!$A$2:$CB$605,MATCH('Prior YTD Data Table'!$C103,'Prior YTD Data Pull'!$A$2:$A$605,0),MATCH("Depreciation and Amortization Expense",'Prior YTD Data Pull'!$A$1:$CB$1,0)),"")</f>
        <v>105000</v>
      </c>
      <c r="AJ103" s="38">
        <f>IFERROR(INDEX('Prior YTD Data Pull'!$A$2:$CB$605,MATCH('Prior YTD Data Table'!$C103,'Prior YTD Data Pull'!$A$2:$A$605,0),MATCH("Net Patient Accounts Receivable",'Prior YTD Data Pull'!$A$1:$CB$1,0)),"")</f>
        <v>0</v>
      </c>
      <c r="AK103" s="14" t="str">
        <f>IF('Prior YTD Data Pull'!$H102 = 6, "183", IF('Prior YTD Data Pull'!$H102 = 3, "93",""))</f>
        <v>183</v>
      </c>
      <c r="AL103" s="38">
        <f>IFERROR(INDEX('Prior YTD Data Pull'!$A$2:$CB$605,MATCH('Prior YTD Data Table'!$C103,'Prior YTD Data Pull'!$A$2:$A$605,0),MATCH("Estimated Third Party Settlements",'Prior YTD Data Pull'!$A$1:$CB$1,0)),"")</f>
        <v>0</v>
      </c>
      <c r="AM103" s="38">
        <f>IFERROR(INDEX('Prior YTD Data Pull'!$A$2:$CB$605,MATCH('Prior YTD Data Table'!$C103,'Prior YTD Data Pull'!$A$2:$A$605,0),MATCH("Current Liabilities due to Affiliates",'Prior YTD Data Pull'!$A$1:$CB$1,0)),"")</f>
        <v>0</v>
      </c>
      <c r="AN103" s="38">
        <f>IFERROR(INDEX('Prior YTD Data Pull'!$A$2:$CB$605,MATCH('Prior YTD Data Table'!$C103,'Prior YTD Data Pull'!$A$2:$A$605,0),MATCH("Short Term Investments",'Prior YTD Data Pull'!$A$1:$CB$1,0)),"")</f>
        <v>0</v>
      </c>
      <c r="AO103" s="38">
        <f>IFERROR(INDEX('Prior YTD Data Pull'!$A$2:$CB$605,MATCH('Prior YTD Data Table'!$C103,'Prior YTD Data Pull'!$A$2:$A$605,0),MATCH("Cash and Cash Equivalents",'Prior YTD Data Pull'!$A$1:$CB$1,0)),"")</f>
        <v>0</v>
      </c>
      <c r="AP103" s="38">
        <f>IFERROR(INDEX('Prior YTD Data Pull'!$A$2:$CB$605,MATCH('Prior YTD Data Table'!$C103,'Prior YTD Data Pull'!$A$2:$A$605,0),MATCH("Interest Expense",'Prior YTD Data Pull'!$A$1:$CB$1,0)),"")</f>
        <v>0</v>
      </c>
      <c r="AQ103" s="38">
        <f>IFERROR(INDEX('Prior YTD Data Pull'!$A$2:$CB$605,MATCH('Prior YTD Data Table'!$C103,'Prior YTD Data Pull'!$A$2:$A$605,0),MATCH("Long Term Debt Net of Current Portion",'Prior YTD Data Pull'!$A$1:$CB$1,0)),"")</f>
        <v>0</v>
      </c>
      <c r="AR103" s="38">
        <f>IFERROR(INDEX('Prior YTD Data Pull'!$A$2:$CB$605,MATCH('Prior YTD Data Table'!$C103,'Prior YTD Data Pull'!$A$2:$A$605,0),MATCH("Total Assets",'Prior YTD Data Pull'!$A$1:$CB$1,0)),"")</f>
        <v>0</v>
      </c>
      <c r="AS103" s="38">
        <f>IFERROR(INDEX('Prior YTD Data Pull'!$A$2:$CB$605,MATCH('Prior YTD Data Table'!$C103,'Prior YTD Data Pull'!$A$2:$A$605,0),MATCH("Long Term Debt Net of Current Portion",'Prior YTD Data Pull'!$A$1:$CB$1,0)),"")</f>
        <v>0</v>
      </c>
      <c r="AT103" s="38">
        <f>IFERROR(INDEX('Prior YTD Data Pull'!$A$2:$CB$605,MATCH('Prior YTD Data Table'!$C103,'Prior YTD Data Pull'!$A$2:$A$605,0),MATCH("Net Unrestricted Assets",'Prior YTD Data Pull'!$A$1:$CB$1,0)),"")</f>
        <v>0</v>
      </c>
      <c r="AU103" s="38">
        <f>IFERROR(INDEX('Prior YTD Data Pull'!$A$2:$CB$605,MATCH('Prior YTD Data Table'!$C103,'Prior YTD Data Pull'!$A$2:$A$605,0),MATCH("Unrealized Gains/Losses",'Prior YTD Data Pull'!$A$1:$CB$1,0)),"")</f>
        <v>0</v>
      </c>
      <c r="AV103" s="38">
        <f>IFERROR(INDEX('Prior YTD Data Pull'!$A$2:$CB$605,MATCH('Prior YTD Data Table'!$C103,'Prior YTD Data Pull'!$A$2:$A$605,0),MATCH("Salary and Benefit Expense",'Prior YTD Data Pull'!$A$1:$CB$1,0)),"")</f>
        <v>7604000</v>
      </c>
      <c r="AW103" s="47"/>
      <c r="AX103" s="47"/>
      <c r="AY103" s="47"/>
      <c r="AZ103" s="47"/>
    </row>
    <row r="104" spans="1:52" ht="34.200000000000003" x14ac:dyDescent="0.3">
      <c r="A104" s="14" t="str">
        <f>IFERROR(INDEX('Static Data Tab'!$N$2:$N$610,MATCH(D104,'Static Data Tab'!$D$2:$D$610,0)), "")</f>
        <v>UMass Memorial Health Care</v>
      </c>
      <c r="B104" s="14" t="s">
        <v>201</v>
      </c>
      <c r="C104" s="14">
        <v>3115</v>
      </c>
      <c r="D104" s="14">
        <v>6755</v>
      </c>
      <c r="E104" s="14" t="str">
        <f>IFERROR(INDEX('Prior YTD Data Pull'!$A$1:$CB$605,MATCH('Prior YTD Data Table'!$C104,'Prior YTD Data Pull'!$A$1:$A$605,0),MATCH("Organization Type",'Prior YTD Data Pull'!$A$1:$CB$1,0)),"")</f>
        <v>AcuteHospital</v>
      </c>
      <c r="F104" s="14" t="str">
        <f>IFERROR(INDEX('Static Data Tab'!$E$2:$E$610,MATCH('Prior YTD Data Table'!$C104,'Static Data Tab'!$B$2:$B$610,0)), "-")</f>
        <v>Academic Medical Center</v>
      </c>
      <c r="G104" s="46" t="str">
        <f>IFERROR(INDEX('Static Data Tab'!$J$2:$J$610,MATCH('Prior YTD Data Table'!$C104,'Static Data Tab'!$B$2:$B$610,0)), "")</f>
        <v>Central Massachusetts</v>
      </c>
      <c r="H104" s="14" t="str">
        <f>IFERROR(INDEX('Static Data Tab'!$F$2:$F$610,MATCH('Prior YTD Data Table'!$C104,'Static Data Tab'!$B$2:$B$610,0)), "")</f>
        <v>x</v>
      </c>
      <c r="I104" s="14" t="str">
        <f>IFERROR(INDEX('Static Data Tab'!$G$2:$G$610,MATCH('Prior YTD Data Table'!$C104,'Static Data Tab'!$B$2:$B$610,0)), "")</f>
        <v>x</v>
      </c>
      <c r="J104" s="14" t="str">
        <f>IFERROR(INDEX('Prior YTD Data Pull'!$A$2:$CB$605,MATCH('Prior YTD Data Table'!$C104,'Prior YTD Data Pull'!$A$2:$A$605,0),MATCH("Quarter Range",'Prior YTD Data Pull'!$A$1:$CB$1,0)),"")</f>
        <v xml:space="preserve">10/01/2024-03/31/2025
</v>
      </c>
      <c r="K104" s="37">
        <f t="shared" si="15"/>
        <v>-4.1016485697159141E-2</v>
      </c>
      <c r="L104" s="37">
        <f t="shared" si="16"/>
        <v>5.3702370622996766E-3</v>
      </c>
      <c r="M104" s="37">
        <f t="shared" si="17"/>
        <v>-3.5646248634859462E-2</v>
      </c>
      <c r="N104" s="38">
        <f t="shared" si="18"/>
        <v>-52093000</v>
      </c>
      <c r="O104" s="39">
        <f t="shared" si="19"/>
        <v>0.95505265837854503</v>
      </c>
      <c r="P104" s="38">
        <f>IFERROR(INDEX('Prior YTD Data Pull'!$A$2:$CB$605,MATCH('Prior YTD Data Table'!$C104,'Prior YTD Data Pull'!$A$2:$A$605,0),MATCH("Total Net Assets or Equity",'Prior YTD Data Pull'!$A$1:$CB$1,0)),"")</f>
        <v>261403000</v>
      </c>
      <c r="Q104" s="38">
        <f>IFERROR(INDEX('Prior YTD Data Pull'!$A$2:$CB$605,MATCH('Prior YTD Data Table'!$C104,'Prior YTD Data Pull'!$A$2:$A$605,0),MATCH("Total Operating Revenue",'Prior YTD Data Pull'!$A$1:$CB$1,0)),"")</f>
        <v>1453540000</v>
      </c>
      <c r="R104" s="38">
        <f>IFERROR(INDEX('Prior YTD Data Pull'!$A$2:$CB$605,MATCH('Prior YTD Data Table'!$C104,'Prior YTD Data Pull'!$A$2:$A$605,0),MATCH("Total Unrestricted Revenue Gains and Other Support",'Prior YTD Data Pull'!$A$1:$CB$1,0)),"")</f>
        <v>1461388000</v>
      </c>
      <c r="S104" s="38">
        <f>IFERROR(INDEX('Prior YTD TS Data Pull'!$J$2:$J$128,MATCH('Prior YTD Data Table'!$C104, 'Prior YTD TS Data Pull'!$A$2:$A$128,0))+INDEX('Prior YTD TS Data Pull'!$N$2:$N$128,MATCH('Prior YTD Data Table'!$C104,'Prior YTD TS Data Pull'!$A$2:$A$609,0))+INDEX('Prior YTD TS Data Pull'!$R$2:$R$128,MATCH('Prior YTD Data Table'!$C104,'Prior YTD TS Data Pull'!$A$2:$A$609,0)),"")</f>
        <v>14253010.170000002</v>
      </c>
      <c r="T104" s="38">
        <f>IF(INDEX('Prior YTD TS Data Pull'!$A$1:$O$609,MATCH('Prior YTD Data Table'!$C104,'Prior YTD TS Data Pull'!$A$1:$A$609,0),MATCH("Temporary RN Staffing:
Line Reported on in Standardized Financials",'Prior YTD TS Data Pull'!$A$1:$O$1,0))="66.1: Salary and Benefit Expense",'Prior YTD Data Table'!$AV104-'Prior YTD Data Table'!$S104,0)</f>
        <v>0</v>
      </c>
      <c r="U104" s="38">
        <f>IFERROR(INDEX('Prior YTD Data Pull'!$A$2:$CB$605,MATCH('Prior YTD Data Table'!$C104,'Prior YTD Data Pull'!$A$2:$A$605,0),MATCH("Total Expenses Including Nonrecurring Gains Losses",'Prior YTD Data Pull'!$A$1:$CB$1,0)),"")</f>
        <v>1513481000</v>
      </c>
      <c r="V104" s="41">
        <f t="shared" si="20"/>
        <v>0</v>
      </c>
      <c r="W104" s="41">
        <f t="shared" si="21"/>
        <v>42.72618731759087</v>
      </c>
      <c r="X104" s="41">
        <f t="shared" si="13"/>
        <v>343.95857539356649</v>
      </c>
      <c r="Y104" s="37">
        <f t="shared" si="22"/>
        <v>-8.3438331347287596E-3</v>
      </c>
      <c r="Z104" s="41">
        <f t="shared" si="14"/>
        <v>2.8979483729301023</v>
      </c>
      <c r="AA104" s="39">
        <f t="shared" si="23"/>
        <v>-1.0366434955312811</v>
      </c>
      <c r="AB104" s="37">
        <f t="shared" si="24"/>
        <v>7.7283381366345036E-2</v>
      </c>
      <c r="AC104" s="37">
        <f t="shared" si="25"/>
        <v>0</v>
      </c>
      <c r="AD104" s="38">
        <f>IFERROR(INDEX('Prior YTD Data Pull'!$A$2:$CB$605,MATCH('Prior YTD Data Table'!$C104,'Prior YTD Data Pull'!$A$2:$A$605,0),MATCH("Net Patient Service Revenue",'Prior YTD Data Pull'!$A$1:$CB$1,0)),"")</f>
        <v>1379454000</v>
      </c>
      <c r="AE104" s="38">
        <f>IFERROR(INDEX('Prior YTD Data Pull'!$A$2:$CB$605,MATCH('Prior YTD Data Table'!$C104,'Prior YTD Data Pull'!$A$2:$A$605,0),MATCH("Total Current Assets",'Prior YTD Data Pull'!$A$1:$CB$1,0)),"")</f>
        <v>2663384000</v>
      </c>
      <c r="AF104" s="38">
        <f>IFERROR(INDEX('Prior YTD Data Pull'!$A$2:$CB$605,MATCH('Prior YTD Data Table'!$C104,'Prior YTD Data Pull'!$A$2:$A$605,0),MATCH("Total Current Liabilities",'Prior YTD Data Pull'!$A$1:$CB$1,0)),"")</f>
        <v>2788730000</v>
      </c>
      <c r="AG104" s="38">
        <f>IFERROR(INDEX('Prior YTD Data Pull'!$A$2:$CB$605,MATCH('Prior YTD Data Table'!$C104,'Prior YTD Data Pull'!$A$2:$A$605,0),MATCH("Total Non Operating Revenue",'Prior YTD Data Pull'!$A$1:$CB$1,0)),"")</f>
        <v>7848000</v>
      </c>
      <c r="AH104" s="38">
        <f>IFERROR(INDEX('Prior YTD Data Pull'!$A$2:$CB$605,MATCH('Prior YTD Data Table'!$C104,'Prior Year Data Pull'!$A$2:$A$593,0),MATCH("Less Accumulated Depreciation",'Prior YTD Data Pull'!$A$1:$CB$1,0)),"")</f>
        <v>0</v>
      </c>
      <c r="AI104" s="38">
        <f>IFERROR(INDEX('Prior YTD Data Pull'!$A$2:$CB$605,MATCH('Prior YTD Data Table'!$C104,'Prior YTD Data Pull'!$A$2:$A$605,0),MATCH("Depreciation and Amortization Expense",'Prior YTD Data Pull'!$A$1:$CB$1,0)),"")</f>
        <v>31584000</v>
      </c>
      <c r="AJ104" s="38">
        <f>IFERROR(INDEX('Prior YTD Data Pull'!$A$2:$CB$605,MATCH('Prior YTD Data Table'!$C104,'Prior YTD Data Pull'!$A$2:$A$605,0),MATCH("Net Patient Accounts Receivable",'Prior YTD Data Pull'!$A$1:$CB$1,0)),"")</f>
        <v>322070000</v>
      </c>
      <c r="AK104" s="14" t="str">
        <f>IF('Prior YTD Data Pull'!$H103 = 6, "183", IF('Prior YTD Data Pull'!$H103 = 3, "93",""))</f>
        <v>183</v>
      </c>
      <c r="AL104" s="38">
        <f>IFERROR(INDEX('Prior YTD Data Pull'!$A$2:$CB$605,MATCH('Prior YTD Data Table'!$C104,'Prior YTD Data Pull'!$A$2:$A$605,0),MATCH("Estimated Third Party Settlements",'Prior YTD Data Pull'!$A$1:$CB$1,0)),"")</f>
        <v>3423000</v>
      </c>
      <c r="AM104" s="38">
        <f>IFERROR(INDEX('Prior YTD Data Pull'!$A$2:$CB$605,MATCH('Prior YTD Data Table'!$C104,'Prior YTD Data Pull'!$A$2:$A$605,0),MATCH("Current Liabilities due to Affiliates",'Prior YTD Data Pull'!$A$1:$CB$1,0)),"")</f>
        <v>2457983000</v>
      </c>
      <c r="AN104" s="38">
        <f>IFERROR(INDEX('Prior YTD Data Pull'!$A$2:$CB$605,MATCH('Prior YTD Data Table'!$C104,'Prior YTD Data Pull'!$A$2:$A$605,0),MATCH("Short Term Investments",'Prior YTD Data Pull'!$A$1:$CB$1,0)),"")</f>
        <v>0</v>
      </c>
      <c r="AO104" s="38">
        <f>IFERROR(INDEX('Prior YTD Data Pull'!$A$2:$CB$605,MATCH('Prior YTD Data Table'!$C104,'Prior YTD Data Pull'!$A$2:$A$605,0),MATCH("Cash and Cash Equivalents",'Prior YTD Data Pull'!$A$1:$CB$1,0)),"")</f>
        <v>23467000</v>
      </c>
      <c r="AP104" s="38">
        <f>IFERROR(INDEX('Prior YTD Data Pull'!$A$2:$CB$605,MATCH('Prior YTD Data Table'!$C104,'Prior YTD Data Pull'!$A$2:$A$605,0),MATCH("Interest Expense",'Prior YTD Data Pull'!$A$1:$CB$1,0)),"")</f>
        <v>10070000</v>
      </c>
      <c r="AQ104" s="38">
        <f>IFERROR(INDEX('Prior YTD Data Pull'!$A$2:$CB$605,MATCH('Prior YTD Data Table'!$C104,'Prior YTD Data Pull'!$A$2:$A$605,0),MATCH("Long Term Debt Net of Current Portion",'Prior YTD Data Pull'!$A$1:$CB$1,0)),"")</f>
        <v>0</v>
      </c>
      <c r="AR104" s="38">
        <f>IFERROR(INDEX('Prior YTD Data Pull'!$A$2:$CB$605,MATCH('Prior YTD Data Table'!$C104,'Prior YTD Data Pull'!$A$2:$A$605,0),MATCH("Total Assets",'Prior YTD Data Pull'!$A$1:$CB$1,0)),"")</f>
        <v>3382396000</v>
      </c>
      <c r="AS104" s="38">
        <f>IFERROR(INDEX('Prior YTD Data Pull'!$A$2:$CB$605,MATCH('Prior YTD Data Table'!$C104,'Prior YTD Data Pull'!$A$2:$A$605,0),MATCH("Long Term Debt Net of Current Portion",'Prior YTD Data Pull'!$A$1:$CB$1,0)),"")</f>
        <v>0</v>
      </c>
      <c r="AT104" s="38">
        <f>IFERROR(INDEX('Prior YTD Data Pull'!$A$2:$CB$605,MATCH('Prior YTD Data Table'!$C104,'Prior YTD Data Pull'!$A$2:$A$605,0),MATCH("Net Unrestricted Assets",'Prior YTD Data Pull'!$A$1:$CB$1,0)),"")</f>
        <v>181830000</v>
      </c>
      <c r="AU104" s="38">
        <f>IFERROR(INDEX('Prior YTD Data Pull'!$A$2:$CB$605,MATCH('Prior YTD Data Table'!$C104,'Prior YTD Data Pull'!$A$2:$A$605,0),MATCH("Unrealized Gains/Losses",'Prior YTD Data Pull'!$A$1:$CB$1,0)),"")</f>
        <v>0</v>
      </c>
      <c r="AV104" s="38">
        <f>IFERROR(INDEX('Prior YTD Data Pull'!$A$2:$CB$605,MATCH('Prior YTD Data Table'!$C104,'Prior YTD Data Pull'!$A$2:$A$605,0),MATCH("Salary and Benefit Expense",'Prior YTD Data Pull'!$A$1:$CB$1,0)),"")</f>
        <v>539705000</v>
      </c>
      <c r="AW104" s="38"/>
      <c r="AX104" s="38"/>
      <c r="AY104" s="38"/>
      <c r="AZ104" s="38"/>
    </row>
    <row r="105" spans="1:52" ht="34.200000000000003" x14ac:dyDescent="0.3">
      <c r="A105" s="14" t="str">
        <f>IFERROR(INDEX('Static Data Tab'!$N$2:$N$610,MATCH(D105,'Static Data Tab'!$D$2:$D$610,0)), "")</f>
        <v>Cambridge Health Alliance</v>
      </c>
      <c r="B105" s="57" t="s">
        <v>121</v>
      </c>
      <c r="C105" s="57">
        <v>3108</v>
      </c>
      <c r="D105" s="57">
        <v>13159</v>
      </c>
      <c r="E105" s="14" t="str">
        <f>IFERROR(INDEX('Prior YTD Data Pull'!$A$1:$CB$605,MATCH('Prior YTD Data Table'!$C105,'Prior YTD Data Pull'!$A$1:$A$605,0),MATCH("Organization Type",'Prior YTD Data Pull'!$A$1:$CB$1,0)),"")</f>
        <v>AcuteHospital</v>
      </c>
      <c r="F105" s="14" t="str">
        <f>IFERROR(INDEX('Static Data Tab'!$E$2:$E$610,MATCH('Prior YTD Data Table'!$C105,'Static Data Tab'!$B$2:$B$610,0)), "-")</f>
        <v>Teaching Hospital</v>
      </c>
      <c r="G105" s="46" t="str">
        <f>IFERROR(INDEX('Static Data Tab'!$J$2:$J$610,MATCH('Prior YTD Data Table'!$C105,'Static Data Tab'!$B$2:$B$610,0)), "")</f>
        <v>Metro Boston</v>
      </c>
      <c r="H105" s="14" t="str">
        <f>IFERROR(INDEX('Static Data Tab'!$F$2:$F$610,MATCH('Prior YTD Data Table'!$C105,'Static Data Tab'!$B$2:$B$610,0)), "")</f>
        <v>x</v>
      </c>
      <c r="I105" s="14" t="str">
        <f>IFERROR(INDEX('Static Data Tab'!$G$2:$G$610,MATCH('Prior YTD Data Table'!$C105,'Static Data Tab'!$B$2:$B$610,0)), "")</f>
        <v>x</v>
      </c>
      <c r="J105" s="14" t="str">
        <f>IFERROR(INDEX('Prior YTD Data Pull'!$A$2:$CB$605,MATCH('Prior YTD Data Table'!$C105,'Prior YTD Data Pull'!$A$2:$A$605,0),MATCH("Quarter Range",'Prior YTD Data Pull'!$A$1:$CB$1,0)),"")</f>
        <v xml:space="preserve">07/01/2024-03/31/2025
</v>
      </c>
      <c r="K105" s="37">
        <f t="shared" si="15"/>
        <v>-4.1291684174825254E-2</v>
      </c>
      <c r="L105" s="37">
        <f t="shared" si="16"/>
        <v>5.9649885974127764E-2</v>
      </c>
      <c r="M105" s="37">
        <f t="shared" si="17"/>
        <v>1.8358201799302514E-2</v>
      </c>
      <c r="N105" s="38">
        <f t="shared" si="18"/>
        <v>15370145</v>
      </c>
      <c r="O105" s="39">
        <f t="shared" si="19"/>
        <v>2.7671928720492782</v>
      </c>
      <c r="P105" s="38">
        <f>IFERROR(INDEX('Prior YTD Data Pull'!$A$2:$CB$605,MATCH('Prior YTD Data Table'!$C105,'Prior YTD Data Pull'!$A$2:$A$605,0),MATCH("Total Net Assets or Equity",'Prior YTD Data Pull'!$A$1:$CB$1,0)),"")</f>
        <v>288725372</v>
      </c>
      <c r="Q105" s="38">
        <f>IFERROR(INDEX('Prior YTD Data Pull'!$A$2:$CB$605,MATCH('Prior YTD Data Table'!$C105,'Prior YTD Data Pull'!$A$2:$A$605,0),MATCH("Total Operating Revenue",'Prior YTD Data Pull'!$A$1:$CB$1,0)),"")</f>
        <v>787294843</v>
      </c>
      <c r="R105" s="38">
        <f>IFERROR(INDEX('Prior YTD Data Pull'!$A$2:$CB$605,MATCH('Prior YTD Data Table'!$C105,'Prior YTD Data Pull'!$A$2:$A$605,0),MATCH("Total Unrestricted Revenue Gains and Other Support",'Prior YTD Data Pull'!$A$1:$CB$1,0)),"")</f>
        <v>837235867</v>
      </c>
      <c r="S105" s="38">
        <f>IFERROR(INDEX('Prior YTD TS Data Pull'!$J$2:$J$128,MATCH('Prior YTD Data Table'!$C105, 'Prior YTD TS Data Pull'!$A$2:$A$128,0))+INDEX('Prior YTD TS Data Pull'!$N$2:$N$128,MATCH('Prior YTD Data Table'!$C105,'Prior YTD TS Data Pull'!$A$2:$A$609,0))+INDEX('Prior YTD TS Data Pull'!$R$2:$R$128,MATCH('Prior YTD Data Table'!$C105,'Prior YTD TS Data Pull'!$A$2:$A$609,0)),"")</f>
        <v>0</v>
      </c>
      <c r="T105" s="38">
        <f>IF(INDEX('Prior YTD TS Data Pull'!$A$1:$O$609,MATCH('Prior YTD Data Table'!$C105,'Prior YTD TS Data Pull'!$A$1:$A$609,0),MATCH("Temporary RN Staffing:
Line Reported on in Standardized Financials",'Prior YTD TS Data Pull'!$A$1:$O$1,0))="66.1: Salary and Benefit Expense",'Prior YTD Data Table'!$AV105-'Prior YTD Data Table'!$S105,0)</f>
        <v>0</v>
      </c>
      <c r="U105" s="38">
        <f>IFERROR(INDEX('Prior YTD Data Pull'!$A$2:$CB$605,MATCH('Prior YTD Data Table'!$C105,'Prior YTD Data Pull'!$A$2:$A$605,0),MATCH("Total Expenses Including Nonrecurring Gains Losses",'Prior YTD Data Pull'!$A$1:$CB$1,0)),"")</f>
        <v>821865722</v>
      </c>
      <c r="V105" s="41">
        <f t="shared" si="20"/>
        <v>6.7606593587938804</v>
      </c>
      <c r="W105" s="41">
        <f t="shared" si="21"/>
        <v>11.108813752374845</v>
      </c>
      <c r="X105" s="41">
        <f t="shared" si="13"/>
        <v>15.404448932146135</v>
      </c>
      <c r="Y105" s="37">
        <f t="shared" si="22"/>
        <v>0.92799625138229103</v>
      </c>
      <c r="Z105" s="41">
        <f t="shared" si="14"/>
        <v>20.757188079019222</v>
      </c>
      <c r="AA105" s="39">
        <f t="shared" si="23"/>
        <v>0.93036964168328973</v>
      </c>
      <c r="AB105" s="37">
        <f t="shared" si="24"/>
        <v>0.40339785110531495</v>
      </c>
      <c r="AC105" s="37">
        <f t="shared" si="25"/>
        <v>0.15033766247763788</v>
      </c>
      <c r="AD105" s="38">
        <f>IFERROR(INDEX('Prior YTD Data Pull'!$A$2:$CB$605,MATCH('Prior YTD Data Table'!$C105,'Prior YTD Data Pull'!$A$2:$A$605,0),MATCH("Net Patient Service Revenue",'Prior YTD Data Pull'!$A$1:$CB$1,0)),"")</f>
        <v>347557484</v>
      </c>
      <c r="AE105" s="38">
        <f>IFERROR(INDEX('Prior YTD Data Pull'!$A$2:$CB$605,MATCH('Prior YTD Data Table'!$C105,'Prior YTD Data Pull'!$A$2:$A$605,0),MATCH("Total Current Assets",'Prior YTD Data Pull'!$A$1:$CB$1,0)),"")</f>
        <v>400846032</v>
      </c>
      <c r="AF105" s="38">
        <f>IFERROR(INDEX('Prior YTD Data Pull'!$A$2:$CB$605,MATCH('Prior YTD Data Table'!$C105,'Prior YTD Data Pull'!$A$2:$A$605,0),MATCH("Total Current Liabilities",'Prior YTD Data Pull'!$A$1:$CB$1,0)),"")</f>
        <v>144856557</v>
      </c>
      <c r="AG105" s="38">
        <f>IFERROR(INDEX('Prior YTD Data Pull'!$A$2:$CB$605,MATCH('Prior YTD Data Table'!$C105,'Prior YTD Data Pull'!$A$2:$A$605,0),MATCH("Total Non Operating Revenue",'Prior YTD Data Pull'!$A$1:$CB$1,0)),"")</f>
        <v>49941024</v>
      </c>
      <c r="AH105" s="38">
        <f>IFERROR(INDEX('Prior YTD Data Pull'!$A$2:$CB$605,MATCH('Prior YTD Data Table'!$C105,'Prior Year Data Pull'!$A$2:$A$593,0),MATCH("Less Accumulated Depreciation",'Prior YTD Data Pull'!$A$1:$CB$1,0)),"")</f>
        <v>215326000</v>
      </c>
      <c r="AI105" s="38">
        <f>IFERROR(INDEX('Prior YTD Data Pull'!$A$2:$CB$605,MATCH('Prior YTD Data Table'!$C105,'Prior YTD Data Pull'!$A$2:$A$605,0),MATCH("Depreciation and Amortization Expense",'Prior YTD Data Pull'!$A$1:$CB$1,0)),"")</f>
        <v>31849852</v>
      </c>
      <c r="AJ105" s="38">
        <f>IFERROR(INDEX('Prior YTD Data Pull'!$A$2:$CB$605,MATCH('Prior YTD Data Table'!$C105,'Prior YTD Data Pull'!$A$2:$A$605,0),MATCH("Net Patient Accounts Receivable",'Prior YTD Data Pull'!$A$1:$CB$1,0)),"")</f>
        <v>41515606</v>
      </c>
      <c r="AK105" s="14" t="str">
        <f>IF('Prior YTD Data Pull'!$H104 = 6, "183", IF('Prior YTD Data Pull'!$H104 = 3, "93",""))</f>
        <v>93</v>
      </c>
      <c r="AL105" s="38">
        <f>IFERROR(INDEX('Prior YTD Data Pull'!$A$2:$CB$605,MATCH('Prior YTD Data Table'!$C105,'Prior YTD Data Pull'!$A$2:$A$605,0),MATCH("Estimated Third Party Settlements",'Prior YTD Data Pull'!$A$1:$CB$1,0)),"")</f>
        <v>13998932</v>
      </c>
      <c r="AM105" s="38">
        <f>IFERROR(INDEX('Prior YTD Data Pull'!$A$2:$CB$605,MATCH('Prior YTD Data Table'!$C105,'Prior YTD Data Pull'!$A$2:$A$605,0),MATCH("Current Liabilities due to Affiliates",'Prior YTD Data Pull'!$A$1:$CB$1,0)),"")</f>
        <v>0</v>
      </c>
      <c r="AN105" s="38">
        <f>IFERROR(INDEX('Prior YTD Data Pull'!$A$2:$CB$605,MATCH('Prior YTD Data Table'!$C105,'Prior YTD Data Pull'!$A$2:$A$605,0),MATCH("Short Term Investments",'Prior YTD Data Pull'!$A$1:$CB$1,0)),"")</f>
        <v>0</v>
      </c>
      <c r="AO105" s="38">
        <f>IFERROR(INDEX('Prior YTD Data Pull'!$A$2:$CB$605,MATCH('Prior YTD Data Table'!$C105,'Prior YTD Data Pull'!$A$2:$A$605,0),MATCH("Cash and Cash Equivalents",'Prior YTD Data Pull'!$A$1:$CB$1,0)),"")</f>
        <v>176328043</v>
      </c>
      <c r="AP105" s="38">
        <f>IFERROR(INDEX('Prior YTD Data Pull'!$A$2:$CB$605,MATCH('Prior YTD Data Table'!$C105,'Prior YTD Data Pull'!$A$2:$A$605,0),MATCH("Interest Expense",'Prior YTD Data Pull'!$A$1:$CB$1,0)),"")</f>
        <v>1734404</v>
      </c>
      <c r="AQ105" s="38">
        <f>IFERROR(INDEX('Prior YTD Data Pull'!$A$2:$CB$605,MATCH('Prior YTD Data Table'!$C105,'Prior YTD Data Pull'!$A$2:$A$605,0),MATCH("Long Term Debt Net of Current Portion",'Prior YTD Data Pull'!$A$1:$CB$1,0)),"")</f>
        <v>50883823</v>
      </c>
      <c r="AR105" s="38">
        <f>IFERROR(INDEX('Prior YTD Data Pull'!$A$2:$CB$605,MATCH('Prior YTD Data Table'!$C105,'Prior YTD Data Pull'!$A$2:$A$605,0),MATCH("Total Assets",'Prior YTD Data Pull'!$A$1:$CB$1,0)),"")</f>
        <v>715733540</v>
      </c>
      <c r="AS105" s="38">
        <f>IFERROR(INDEX('Prior YTD Data Pull'!$A$2:$CB$605,MATCH('Prior YTD Data Table'!$C105,'Prior YTD Data Pull'!$A$2:$A$605,0),MATCH("Long Term Debt Net of Current Portion",'Prior YTD Data Pull'!$A$1:$CB$1,0)),"")</f>
        <v>50883823</v>
      </c>
      <c r="AT105" s="38">
        <f>IFERROR(INDEX('Prior YTD Data Pull'!$A$2:$CB$605,MATCH('Prior YTD Data Table'!$C105,'Prior YTD Data Pull'!$A$2:$A$605,0),MATCH("Net Unrestricted Assets",'Prior YTD Data Pull'!$A$1:$CB$1,0)),"")</f>
        <v>287579754</v>
      </c>
      <c r="AU105" s="38">
        <f>IFERROR(INDEX('Prior YTD Data Pull'!$A$2:$CB$605,MATCH('Prior YTD Data Table'!$C105,'Prior YTD Data Pull'!$A$2:$A$605,0),MATCH("Unrealized Gains/Losses",'Prior YTD Data Pull'!$A$1:$CB$1,0)),"")</f>
        <v>0</v>
      </c>
      <c r="AV105" s="38">
        <f>IFERROR(INDEX('Prior YTD Data Pull'!$A$2:$CB$605,MATCH('Prior YTD Data Table'!$C105,'Prior YTD Data Pull'!$A$2:$A$605,0),MATCH("Salary and Benefit Expense",'Prior YTD Data Pull'!$A$1:$CB$1,0)),"")</f>
        <v>503162407</v>
      </c>
      <c r="AW105" s="47"/>
      <c r="AX105" s="47"/>
      <c r="AY105" s="47"/>
      <c r="AZ105" s="47"/>
    </row>
    <row r="106" spans="1:52" ht="34.200000000000003" x14ac:dyDescent="0.3">
      <c r="A106" s="14" t="str">
        <f>IFERROR(INDEX('Static Data Tab'!$N$2:$N$610,MATCH(D106,'Static Data Tab'!$D$2:$D$610,0)), "")</f>
        <v>Shriners Hospital for Children</v>
      </c>
      <c r="B106" s="14" t="s">
        <v>614</v>
      </c>
      <c r="C106" s="14">
        <v>6963</v>
      </c>
      <c r="D106" s="14">
        <v>13158</v>
      </c>
      <c r="E106" s="14" t="str">
        <f>IFERROR(INDEX('Prior YTD Data Pull'!$A$1:$CB$605,MATCH('Prior YTD Data Table'!$C106,'Prior YTD Data Pull'!$A$1:$A$605,0),MATCH("Organization Type",'Prior YTD Data Pull'!$A$1:$CB$1,0)),"")</f>
        <v>AcuteHospital</v>
      </c>
      <c r="F106" s="14" t="str">
        <f>IFERROR(INDEX('Static Data Tab'!$E$2:$E$610,MATCH('Prior YTD Data Table'!$C106,'Static Data Tab'!$B$2:$B$610,0)), "-")</f>
        <v>Specialty Hospital</v>
      </c>
      <c r="G106" s="46" t="str">
        <f>IFERROR(INDEX('Static Data Tab'!$J$2:$J$610,MATCH('Prior YTD Data Table'!$C106,'Static Data Tab'!$B$2:$B$610,0)), "")</f>
        <v>Metro Boston</v>
      </c>
      <c r="H106" s="14">
        <f>IFERROR(INDEX('Static Data Tab'!$F$2:$F$610,MATCH('Prior YTD Data Table'!$C106,'Static Data Tab'!$B$2:$B$610,0)), "")</f>
        <v>0</v>
      </c>
      <c r="I106" s="14">
        <f>IFERROR(INDEX('Static Data Tab'!$G$2:$G$610,MATCH('Prior YTD Data Table'!$C106,'Static Data Tab'!$B$2:$B$610,0)), "")</f>
        <v>0</v>
      </c>
      <c r="J106" s="14" t="str">
        <f>IFERROR(INDEX('Prior YTD Data Pull'!$A$2:$CB$605,MATCH('Prior YTD Data Table'!$C106,'Prior YTD Data Pull'!$A$2:$A$605,0),MATCH("Quarter Range",'Prior YTD Data Pull'!$A$1:$CB$1,0)),"")</f>
        <v xml:space="preserve">01/01/2025-03/31/2025
</v>
      </c>
      <c r="K106" s="37">
        <f t="shared" si="15"/>
        <v>-1.2728595224944323</v>
      </c>
      <c r="L106" s="37">
        <f t="shared" si="16"/>
        <v>0</v>
      </c>
      <c r="M106" s="37">
        <f t="shared" si="17"/>
        <v>-1.2728595224944323</v>
      </c>
      <c r="N106" s="38">
        <f t="shared" si="18"/>
        <v>-6123036</v>
      </c>
      <c r="O106" s="39">
        <f t="shared" si="19"/>
        <v>0.4078460578093146</v>
      </c>
      <c r="P106" s="38">
        <f>IFERROR(INDEX('Prior YTD Data Pull'!$A$2:$CB$605,MATCH('Prior YTD Data Table'!$C106,'Prior YTD Data Pull'!$A$2:$A$605,0),MATCH("Total Net Assets or Equity",'Prior YTD Data Pull'!$A$1:$CB$1,0)),"")</f>
        <v>34913908</v>
      </c>
      <c r="Q106" s="38">
        <f>IFERROR(INDEX('Prior YTD Data Pull'!$A$2:$CB$605,MATCH('Prior YTD Data Table'!$C106,'Prior YTD Data Pull'!$A$2:$A$605,0),MATCH("Total Operating Revenue",'Prior YTD Data Pull'!$A$1:$CB$1,0)),"")</f>
        <v>4810457</v>
      </c>
      <c r="R106" s="38">
        <f>IFERROR(INDEX('Prior YTD Data Pull'!$A$2:$CB$605,MATCH('Prior YTD Data Table'!$C106,'Prior YTD Data Pull'!$A$2:$A$605,0),MATCH("Total Unrestricted Revenue Gains and Other Support",'Prior YTD Data Pull'!$A$1:$CB$1,0)),"")</f>
        <v>4810457</v>
      </c>
      <c r="S106" s="38" t="str">
        <f>IFERROR(INDEX('Prior YTD TS Data Pull'!$J$2:$J$128,MATCH('Prior YTD Data Table'!$C106, 'Prior YTD TS Data Pull'!$A$2:$A$128,0))+INDEX('Prior YTD TS Data Pull'!$N$2:$N$128,MATCH('Prior YTD Data Table'!$C106,'Prior YTD TS Data Pull'!$A$2:$A$609,0))+INDEX('Prior YTD TS Data Pull'!$R$2:$R$128,MATCH('Prior YTD Data Table'!$C106,'Prior YTD TS Data Pull'!$A$2:$A$609,0)),"")</f>
        <v/>
      </c>
      <c r="T106" s="38" t="e">
        <f>IF(INDEX('Prior YTD TS Data Pull'!$A$1:$O$609,MATCH('Prior YTD Data Table'!$C106,'Prior YTD TS Data Pull'!$A$1:$A$609,0),MATCH("Temporary RN Staffing:
Line Reported on in Standardized Financials",'Prior YTD TS Data Pull'!$A$1:$O$1,0))="66.1: Salary and Benefit Expense",'Prior YTD Data Table'!$AV106-'Prior YTD Data Table'!$S106,0)</f>
        <v>#N/A</v>
      </c>
      <c r="U106" s="38">
        <f>IFERROR(INDEX('Prior YTD Data Pull'!$A$2:$CB$605,MATCH('Prior YTD Data Table'!$C106,'Prior YTD Data Pull'!$A$2:$A$605,0),MATCH("Total Expenses Including Nonrecurring Gains Losses",'Prior YTD Data Pull'!$A$1:$CB$1,0)),"")</f>
        <v>10933493</v>
      </c>
      <c r="V106" s="41" t="str">
        <f t="shared" si="20"/>
        <v/>
      </c>
      <c r="W106" s="41" t="str">
        <f t="shared" si="21"/>
        <v/>
      </c>
      <c r="X106" s="41" t="str">
        <f t="shared" si="13"/>
        <v/>
      </c>
      <c r="Y106" s="37">
        <f t="shared" si="22"/>
        <v>-1.3778541109374285</v>
      </c>
      <c r="Z106" s="41" t="str">
        <f t="shared" si="14"/>
        <v/>
      </c>
      <c r="AA106" s="39" t="str">
        <f t="shared" si="23"/>
        <v/>
      </c>
      <c r="AB106" s="37">
        <f t="shared" si="24"/>
        <v>0.82140422143689518</v>
      </c>
      <c r="AC106" s="37">
        <f t="shared" si="25"/>
        <v>0</v>
      </c>
      <c r="AD106" s="38">
        <f>IFERROR(INDEX('Prior YTD Data Pull'!$A$2:$CB$605,MATCH('Prior YTD Data Table'!$C106,'Prior YTD Data Pull'!$A$2:$A$605,0),MATCH("Net Patient Service Revenue",'Prior YTD Data Pull'!$A$1:$CB$1,0)),"")</f>
        <v>3068021</v>
      </c>
      <c r="AE106" s="38">
        <f>IFERROR(INDEX('Prior YTD Data Pull'!$A$2:$CB$605,MATCH('Prior YTD Data Table'!$C106,'Prior YTD Data Pull'!$A$2:$A$605,0),MATCH("Total Current Assets",'Prior YTD Data Pull'!$A$1:$CB$1,0)),"")</f>
        <v>3096873</v>
      </c>
      <c r="AF106" s="38">
        <f>IFERROR(INDEX('Prior YTD Data Pull'!$A$2:$CB$605,MATCH('Prior YTD Data Table'!$C106,'Prior YTD Data Pull'!$A$2:$A$605,0),MATCH("Total Current Liabilities",'Prior YTD Data Pull'!$A$1:$CB$1,0)),"")</f>
        <v>7593240</v>
      </c>
      <c r="AG106" s="38">
        <f>IFERROR(INDEX('Prior YTD Data Pull'!$A$2:$CB$605,MATCH('Prior YTD Data Table'!$C106,'Prior YTD Data Pull'!$A$2:$A$605,0),MATCH("Total Non Operating Revenue",'Prior YTD Data Pull'!$A$1:$CB$1,0)),"")</f>
        <v>0</v>
      </c>
      <c r="AH106" s="38" t="str">
        <f>IFERROR(INDEX('Prior YTD Data Pull'!$A$2:$CB$605,MATCH('Prior YTD Data Table'!$C106,'Prior Year Data Pull'!$A$2:$A$593,0),MATCH("Less Accumulated Depreciation",'Prior YTD Data Pull'!$A$1:$CB$1,0)),"")</f>
        <v/>
      </c>
      <c r="AI106" s="38">
        <f>IFERROR(INDEX('Prior YTD Data Pull'!$A$2:$CB$605,MATCH('Prior YTD Data Table'!$C106,'Prior YTD Data Pull'!$A$2:$A$605,0),MATCH("Depreciation and Amortization Expense",'Prior YTD Data Pull'!$A$1:$CB$1,0)),"")</f>
        <v>856292</v>
      </c>
      <c r="AJ106" s="38">
        <f>IFERROR(INDEX('Prior YTD Data Pull'!$A$2:$CB$605,MATCH('Prior YTD Data Table'!$C106,'Prior YTD Data Pull'!$A$2:$A$605,0),MATCH("Net Patient Accounts Receivable",'Prior YTD Data Pull'!$A$1:$CB$1,0)),"")</f>
        <v>2274406</v>
      </c>
      <c r="AK106" s="14" t="str">
        <f>IF('Prior YTD Data Pull'!$H105 = 6, "183", IF('Prior YTD Data Pull'!$H105 = 3, "93",""))</f>
        <v/>
      </c>
      <c r="AL106" s="38">
        <f>IFERROR(INDEX('Prior YTD Data Pull'!$A$2:$CB$605,MATCH('Prior YTD Data Table'!$C106,'Prior YTD Data Pull'!$A$2:$A$605,0),MATCH("Estimated Third Party Settlements",'Prior YTD Data Pull'!$A$1:$CB$1,0)),"")</f>
        <v>0</v>
      </c>
      <c r="AM106" s="38">
        <f>IFERROR(INDEX('Prior YTD Data Pull'!$A$2:$CB$605,MATCH('Prior YTD Data Table'!$C106,'Prior YTD Data Pull'!$A$2:$A$605,0),MATCH("Current Liabilities due to Affiliates",'Prior YTD Data Pull'!$A$1:$CB$1,0)),"")</f>
        <v>3822425</v>
      </c>
      <c r="AN106" s="38">
        <f>IFERROR(INDEX('Prior YTD Data Pull'!$A$2:$CB$605,MATCH('Prior YTD Data Table'!$C106,'Prior YTD Data Pull'!$A$2:$A$605,0),MATCH("Short Term Investments",'Prior YTD Data Pull'!$A$1:$CB$1,0)),"")</f>
        <v>0</v>
      </c>
      <c r="AO106" s="38">
        <f>IFERROR(INDEX('Prior YTD Data Pull'!$A$2:$CB$605,MATCH('Prior YTD Data Table'!$C106,'Prior YTD Data Pull'!$A$2:$A$605,0),MATCH("Cash and Cash Equivalents",'Prior YTD Data Pull'!$A$1:$CB$1,0)),"")</f>
        <v>126589</v>
      </c>
      <c r="AP106" s="38">
        <f>IFERROR(INDEX('Prior YTD Data Pull'!$A$2:$CB$605,MATCH('Prior YTD Data Table'!$C106,'Prior YTD Data Pull'!$A$2:$A$605,0),MATCH("Interest Expense",'Prior YTD Data Pull'!$A$1:$CB$1,0)),"")</f>
        <v>0</v>
      </c>
      <c r="AQ106" s="38">
        <f>IFERROR(INDEX('Prior YTD Data Pull'!$A$2:$CB$605,MATCH('Prior YTD Data Table'!$C106,'Prior YTD Data Pull'!$A$2:$A$605,0),MATCH("Long Term Debt Net of Current Portion",'Prior YTD Data Pull'!$A$1:$CB$1,0)),"")</f>
        <v>0</v>
      </c>
      <c r="AR106" s="38">
        <f>IFERROR(INDEX('Prior YTD Data Pull'!$A$2:$CB$605,MATCH('Prior YTD Data Table'!$C106,'Prior YTD Data Pull'!$A$2:$A$605,0),MATCH("Total Assets",'Prior YTD Data Pull'!$A$1:$CB$1,0)),"")</f>
        <v>42505148</v>
      </c>
      <c r="AS106" s="38">
        <f>IFERROR(INDEX('Prior YTD Data Pull'!$A$2:$CB$605,MATCH('Prior YTD Data Table'!$C106,'Prior YTD Data Pull'!$A$2:$A$605,0),MATCH("Long Term Debt Net of Current Portion",'Prior YTD Data Pull'!$A$1:$CB$1,0)),"")</f>
        <v>0</v>
      </c>
      <c r="AT106" s="38">
        <f>IFERROR(INDEX('Prior YTD Data Pull'!$A$2:$CB$605,MATCH('Prior YTD Data Table'!$C106,'Prior YTD Data Pull'!$A$2:$A$605,0),MATCH("Net Unrestricted Assets",'Prior YTD Data Pull'!$A$1:$CB$1,0)),"")</f>
        <v>34913908</v>
      </c>
      <c r="AU106" s="38">
        <f>IFERROR(INDEX('Prior YTD Data Pull'!$A$2:$CB$605,MATCH('Prior YTD Data Table'!$C106,'Prior YTD Data Pull'!$A$2:$A$605,0),MATCH("Unrealized Gains/Losses",'Prior YTD Data Pull'!$A$1:$CB$1,0)),"")</f>
        <v>0</v>
      </c>
      <c r="AV106" s="38">
        <f>IFERROR(INDEX('Prior YTD Data Pull'!$A$2:$CB$605,MATCH('Prior YTD Data Table'!$C106,'Prior YTD Data Pull'!$A$2:$A$605,0),MATCH("Salary and Benefit Expense",'Prior YTD Data Pull'!$A$1:$CB$1,0)),"")</f>
        <v>4571991</v>
      </c>
      <c r="AW106" s="38"/>
      <c r="AX106" s="38"/>
      <c r="AY106" s="38"/>
      <c r="AZ106" s="38"/>
    </row>
    <row r="107" spans="1:52" ht="34.200000000000003" x14ac:dyDescent="0.3">
      <c r="A107" s="14" t="str">
        <f>IFERROR(INDEX('Static Data Tab'!$N$2:$N$610,MATCH(D107,'Static Data Tab'!$D$2:$D$610,0)), "")</f>
        <v>Cape Cod Healthcare</v>
      </c>
      <c r="B107" s="57" t="s">
        <v>124</v>
      </c>
      <c r="C107" s="57">
        <v>39</v>
      </c>
      <c r="D107" s="57">
        <v>3109</v>
      </c>
      <c r="E107" s="14" t="str">
        <f>IFERROR(INDEX('Prior YTD Data Pull'!$A$1:$CB$605,MATCH('Prior YTD Data Table'!$C107,'Prior YTD Data Pull'!$A$1:$A$605,0),MATCH("Organization Type",'Prior YTD Data Pull'!$A$1:$CB$1,0)),"")</f>
        <v>AcuteHospital</v>
      </c>
      <c r="F107" s="14" t="str">
        <f>IFERROR(INDEX('Static Data Tab'!$E$2:$E$610,MATCH('Prior YTD Data Table'!$C107,'Static Data Tab'!$B$2:$B$610,0)), "-")</f>
        <v>Community-High Public Payer Hospital</v>
      </c>
      <c r="G107" s="46" t="str">
        <f>IFERROR(INDEX('Static Data Tab'!$J$2:$J$610,MATCH('Prior YTD Data Table'!$C107,'Static Data Tab'!$B$2:$B$610,0)), "")</f>
        <v>Cape and Islands</v>
      </c>
      <c r="H107" s="14" t="str">
        <f>IFERROR(INDEX('Static Data Tab'!$F$2:$F$610,MATCH('Prior YTD Data Table'!$C107,'Static Data Tab'!$B$2:$B$610,0)), "")</f>
        <v>x</v>
      </c>
      <c r="I107" s="14">
        <f>IFERROR(INDEX('Static Data Tab'!$G$2:$G$610,MATCH('Prior YTD Data Table'!$C107,'Static Data Tab'!$B$2:$B$610,0)), "")</f>
        <v>0</v>
      </c>
      <c r="J107" s="14" t="str">
        <f>IFERROR(INDEX('Prior YTD Data Pull'!$A$2:$CB$605,MATCH('Prior YTD Data Table'!$C107,'Prior YTD Data Pull'!$A$2:$A$605,0),MATCH("Quarter Range",'Prior YTD Data Pull'!$A$1:$CB$1,0)),"")</f>
        <v xml:space="preserve">10/01/2024-03/31/2025
</v>
      </c>
      <c r="K107" s="37">
        <f t="shared" si="15"/>
        <v>6.2229272626707181E-2</v>
      </c>
      <c r="L107" s="37">
        <f t="shared" si="16"/>
        <v>-2.5765098360941239E-3</v>
      </c>
      <c r="M107" s="37">
        <f t="shared" si="17"/>
        <v>5.9652762790613052E-2</v>
      </c>
      <c r="N107" s="38">
        <f t="shared" si="18"/>
        <v>22243554</v>
      </c>
      <c r="O107" s="39">
        <f t="shared" si="19"/>
        <v>1.61548522141053</v>
      </c>
      <c r="P107" s="38">
        <f>IFERROR(INDEX('Prior YTD Data Pull'!$A$2:$CB$605,MATCH('Prior YTD Data Table'!$C107,'Prior YTD Data Pull'!$A$2:$A$605,0),MATCH("Total Net Assets or Equity",'Prior YTD Data Pull'!$A$1:$CB$1,0)),"")</f>
        <v>594885537</v>
      </c>
      <c r="Q107" s="38">
        <f>IFERROR(INDEX('Prior YTD Data Pull'!$A$2:$CB$605,MATCH('Prior YTD Data Table'!$C107,'Prior YTD Data Pull'!$A$2:$A$605,0),MATCH("Total Operating Revenue",'Prior YTD Data Pull'!$A$1:$CB$1,0)),"")</f>
        <v>373844625</v>
      </c>
      <c r="R107" s="38">
        <f>IFERROR(INDEX('Prior YTD Data Pull'!$A$2:$CB$605,MATCH('Prior YTD Data Table'!$C107,'Prior YTD Data Pull'!$A$2:$A$605,0),MATCH("Total Unrestricted Revenue Gains and Other Support",'Prior YTD Data Pull'!$A$1:$CB$1,0)),"")</f>
        <v>372883886</v>
      </c>
      <c r="S107" s="38">
        <f>IFERROR(INDEX('Prior YTD TS Data Pull'!$J$2:$J$128,MATCH('Prior YTD Data Table'!$C107, 'Prior YTD TS Data Pull'!$A$2:$A$128,0))+INDEX('Prior YTD TS Data Pull'!$N$2:$N$128,MATCH('Prior YTD Data Table'!$C107,'Prior YTD TS Data Pull'!$A$2:$A$609,0))+INDEX('Prior YTD TS Data Pull'!$R$2:$R$128,MATCH('Prior YTD Data Table'!$C107,'Prior YTD TS Data Pull'!$A$2:$A$609,0)),"")</f>
        <v>7167854.0700000003</v>
      </c>
      <c r="T107" s="38">
        <f>IF(INDEX('Prior YTD TS Data Pull'!$A$1:$O$609,MATCH('Prior YTD Data Table'!$C107,'Prior YTD TS Data Pull'!$A$1:$A$609,0),MATCH("Temporary RN Staffing:
Line Reported on in Standardized Financials",'Prior YTD TS Data Pull'!$A$1:$O$1,0))="66.1: Salary and Benefit Expense",'Prior YTD Data Table'!$AV107-'Prior YTD Data Table'!$S107,0)</f>
        <v>173334636.93000001</v>
      </c>
      <c r="U107" s="38">
        <f>IFERROR(INDEX('Prior YTD Data Pull'!$A$2:$CB$605,MATCH('Prior YTD Data Table'!$C107,'Prior YTD Data Pull'!$A$2:$A$605,0),MATCH("Total Expenses Including Nonrecurring Gains Losses",'Prior YTD Data Pull'!$A$1:$CB$1,0)),"")</f>
        <v>350640332</v>
      </c>
      <c r="V107" s="41">
        <f t="shared" si="20"/>
        <v>0.2444615195231685</v>
      </c>
      <c r="W107" s="41">
        <f t="shared" si="21"/>
        <v>36.261338601870698</v>
      </c>
      <c r="X107" s="41">
        <f t="shared" si="13"/>
        <v>48.629359056824676</v>
      </c>
      <c r="Y107" s="37">
        <f t="shared" si="22"/>
        <v>0.3298894707161501</v>
      </c>
      <c r="Z107" s="41">
        <f t="shared" si="14"/>
        <v>27.022388667649633</v>
      </c>
      <c r="AA107" s="39">
        <f t="shared" si="23"/>
        <v>0.34417810001962434</v>
      </c>
      <c r="AB107" s="37">
        <f t="shared" si="24"/>
        <v>0.7470718891381114</v>
      </c>
      <c r="AC107" s="37">
        <f t="shared" si="25"/>
        <v>0.15667849882319554</v>
      </c>
      <c r="AD107" s="38">
        <f>IFERROR(INDEX('Prior YTD Data Pull'!$A$2:$CB$605,MATCH('Prior YTD Data Table'!$C107,'Prior YTD Data Pull'!$A$2:$A$605,0),MATCH("Net Patient Service Revenue",'Prior YTD Data Pull'!$A$1:$CB$1,0)),"")</f>
        <v>369399424</v>
      </c>
      <c r="AE107" s="38">
        <f>IFERROR(INDEX('Prior YTD Data Pull'!$A$2:$CB$605,MATCH('Prior YTD Data Table'!$C107,'Prior YTD Data Pull'!$A$2:$A$605,0),MATCH("Total Current Assets",'Prior YTD Data Pull'!$A$1:$CB$1,0)),"")</f>
        <v>163344158.09999999</v>
      </c>
      <c r="AF107" s="38">
        <f>IFERROR(INDEX('Prior YTD Data Pull'!$A$2:$CB$605,MATCH('Prior YTD Data Table'!$C107,'Prior YTD Data Pull'!$A$2:$A$605,0),MATCH("Total Current Liabilities",'Prior YTD Data Pull'!$A$1:$CB$1,0)),"")</f>
        <v>101111514.94</v>
      </c>
      <c r="AG107" s="38">
        <f>IFERROR(INDEX('Prior YTD Data Pull'!$A$2:$CB$605,MATCH('Prior YTD Data Table'!$C107,'Prior YTD Data Pull'!$A$2:$A$605,0),MATCH("Total Non Operating Revenue",'Prior YTD Data Pull'!$A$1:$CB$1,0)),"")</f>
        <v>-960739</v>
      </c>
      <c r="AH107" s="38">
        <f>IFERROR(INDEX('Prior YTD Data Pull'!$A$2:$CB$605,MATCH('Prior YTD Data Table'!$C107,'Prior Year Data Pull'!$A$2:$A$593,0),MATCH("Less Accumulated Depreciation",'Prior YTD Data Pull'!$A$1:$CB$1,0)),"")</f>
        <v>2955000</v>
      </c>
      <c r="AI107" s="38">
        <f>IFERROR(INDEX('Prior YTD Data Pull'!$A$2:$CB$605,MATCH('Prior YTD Data Table'!$C107,'Prior YTD Data Pull'!$A$2:$A$605,0),MATCH("Depreciation and Amortization Expense",'Prior YTD Data Pull'!$A$1:$CB$1,0)),"")</f>
        <v>12087792</v>
      </c>
      <c r="AJ107" s="38">
        <f>IFERROR(INDEX('Prior YTD Data Pull'!$A$2:$CB$605,MATCH('Prior YTD Data Table'!$C107,'Prior YTD Data Pull'!$A$2:$A$605,0),MATCH("Net Patient Accounts Receivable",'Prior YTD Data Pull'!$A$1:$CB$1,0)),"")</f>
        <v>73196271</v>
      </c>
      <c r="AK107" s="14" t="str">
        <f>IF('Prior YTD Data Pull'!$H106 = 6, "183", IF('Prior YTD Data Pull'!$H106 = 3, "93",""))</f>
        <v>183</v>
      </c>
      <c r="AL107" s="38">
        <f>IFERROR(INDEX('Prior YTD Data Pull'!$A$2:$CB$605,MATCH('Prior YTD Data Table'!$C107,'Prior YTD Data Pull'!$A$2:$A$605,0),MATCH("Estimated Third Party Settlements",'Prior YTD Data Pull'!$A$1:$CB$1,0)),"")</f>
        <v>11146525.720000001</v>
      </c>
      <c r="AM107" s="38">
        <f>IFERROR(INDEX('Prior YTD Data Pull'!$A$2:$CB$605,MATCH('Prior YTD Data Table'!$C107,'Prior YTD Data Pull'!$A$2:$A$605,0),MATCH("Current Liabilities due to Affiliates",'Prior YTD Data Pull'!$A$1:$CB$1,0)),"")</f>
        <v>3912941.48</v>
      </c>
      <c r="AN107" s="38">
        <f>IFERROR(INDEX('Prior YTD Data Pull'!$A$2:$CB$605,MATCH('Prior YTD Data Table'!$C107,'Prior YTD Data Pull'!$A$2:$A$605,0),MATCH("Short Term Investments",'Prior YTD Data Pull'!$A$1:$CB$1,0)),"")</f>
        <v>20327850.879999999</v>
      </c>
      <c r="AO107" s="38">
        <f>IFERROR(INDEX('Prior YTD Data Pull'!$A$2:$CB$605,MATCH('Prior YTD Data Table'!$C107,'Prior YTD Data Pull'!$A$2:$A$605,0),MATCH("Cash and Cash Equivalents",'Prior YTD Data Pull'!$A$1:$CB$1,0)),"")</f>
        <v>29663943.219999999</v>
      </c>
      <c r="AP107" s="38">
        <f>IFERROR(INDEX('Prior YTD Data Pull'!$A$2:$CB$605,MATCH('Prior YTD Data Table'!$C107,'Prior YTD Data Pull'!$A$2:$A$605,0),MATCH("Interest Expense",'Prior YTD Data Pull'!$A$1:$CB$1,0)),"")</f>
        <v>213866</v>
      </c>
      <c r="AQ107" s="38">
        <f>IFERROR(INDEX('Prior YTD Data Pull'!$A$2:$CB$605,MATCH('Prior YTD Data Table'!$C107,'Prior YTD Data Pull'!$A$2:$A$605,0),MATCH("Long Term Debt Net of Current Portion",'Prior YTD Data Pull'!$A$1:$CB$1,0)),"")</f>
        <v>100156297</v>
      </c>
      <c r="AR107" s="38">
        <f>IFERROR(INDEX('Prior YTD Data Pull'!$A$2:$CB$605,MATCH('Prior YTD Data Table'!$C107,'Prior YTD Data Pull'!$A$2:$A$605,0),MATCH("Total Assets",'Prior YTD Data Pull'!$A$1:$CB$1,0)),"")</f>
        <v>796289548.10000002</v>
      </c>
      <c r="AS107" s="38">
        <f>IFERROR(INDEX('Prior YTD Data Pull'!$A$2:$CB$605,MATCH('Prior YTD Data Table'!$C107,'Prior YTD Data Pull'!$A$2:$A$605,0),MATCH("Long Term Debt Net of Current Portion",'Prior YTD Data Pull'!$A$1:$CB$1,0)),"")</f>
        <v>100156297</v>
      </c>
      <c r="AT107" s="38">
        <f>IFERROR(INDEX('Prior YTD Data Pull'!$A$2:$CB$605,MATCH('Prior YTD Data Table'!$C107,'Prior YTD Data Pull'!$A$2:$A$605,0),MATCH("Net Unrestricted Assets",'Prior YTD Data Pull'!$A$1:$CB$1,0)),"")</f>
        <v>539090937</v>
      </c>
      <c r="AU107" s="38">
        <f>IFERROR(INDEX('Prior YTD Data Pull'!$A$2:$CB$605,MATCH('Prior YTD Data Table'!$C107,'Prior YTD Data Pull'!$A$2:$A$605,0),MATCH("Unrealized Gains/Losses",'Prior YTD Data Pull'!$A$1:$CB$1,0)),"")</f>
        <v>0</v>
      </c>
      <c r="AV107" s="38">
        <f>IFERROR(INDEX('Prior YTD Data Pull'!$A$2:$CB$605,MATCH('Prior YTD Data Table'!$C107,'Prior YTD Data Pull'!$A$2:$A$605,0),MATCH("Salary and Benefit Expense",'Prior YTD Data Pull'!$A$1:$CB$1,0)),"")</f>
        <v>180502491</v>
      </c>
      <c r="AW107" s="47"/>
      <c r="AX107" s="47"/>
      <c r="AY107" s="47"/>
      <c r="AZ107" s="47"/>
    </row>
    <row r="108" spans="1:52" ht="34.200000000000003" x14ac:dyDescent="0.3">
      <c r="A108" s="14" t="str">
        <f>IFERROR(INDEX('Static Data Tab'!$N$2:$N$610,MATCH(D108,'Static Data Tab'!$D$2:$D$610,0)), "")</f>
        <v>Trinity Health</v>
      </c>
      <c r="B108" s="14" t="s">
        <v>184</v>
      </c>
      <c r="C108" s="14">
        <v>6547</v>
      </c>
      <c r="D108" s="14">
        <v>14288</v>
      </c>
      <c r="E108" s="14" t="str">
        <f>IFERROR(INDEX('Prior YTD Data Pull'!$A$1:$CB$605,MATCH('Prior YTD Data Table'!$C108,'Prior YTD Data Pull'!$A$1:$A$605,0),MATCH("Organization Type",'Prior YTD Data Pull'!$A$1:$CB$1,0)),"")</f>
        <v>AcuteHospital</v>
      </c>
      <c r="F108" s="14" t="str">
        <f>IFERROR(INDEX('Static Data Tab'!$E$2:$E$610,MATCH('Prior YTD Data Table'!$C108,'Static Data Tab'!$B$2:$B$610,0)), "-")</f>
        <v>Community-High Public Payer Hospital</v>
      </c>
      <c r="G108" s="46" t="str">
        <f>IFERROR(INDEX('Static Data Tab'!$J$2:$J$610,MATCH('Prior YTD Data Table'!$C108,'Static Data Tab'!$B$2:$B$610,0)), "")</f>
        <v>Western Massachusetts</v>
      </c>
      <c r="H108" s="14" t="str">
        <f>IFERROR(INDEX('Static Data Tab'!$F$2:$F$610,MATCH('Prior YTD Data Table'!$C108,'Static Data Tab'!$B$2:$B$610,0)), "")</f>
        <v>x</v>
      </c>
      <c r="I108" s="14">
        <f>IFERROR(INDEX('Static Data Tab'!$G$2:$G$610,MATCH('Prior YTD Data Table'!$C108,'Static Data Tab'!$B$2:$B$610,0)), "")</f>
        <v>0</v>
      </c>
      <c r="J108" s="14" t="str">
        <f>IFERROR(INDEX('Prior YTD Data Pull'!$A$2:$CB$605,MATCH('Prior YTD Data Table'!$C108,'Prior YTD Data Pull'!$A$2:$A$605,0),MATCH("Quarter Range",'Prior YTD Data Pull'!$A$1:$CB$1,0)),"")</f>
        <v xml:space="preserve">07/01/2024-03/31/2025
</v>
      </c>
      <c r="K108" s="37">
        <f t="shared" si="15"/>
        <v>-5.6601789240321873E-2</v>
      </c>
      <c r="L108" s="37">
        <f t="shared" si="16"/>
        <v>9.4538784934594168E-4</v>
      </c>
      <c r="M108" s="37">
        <f t="shared" si="17"/>
        <v>-5.5656401390975933E-2</v>
      </c>
      <c r="N108" s="38">
        <f t="shared" si="18"/>
        <v>-13324269</v>
      </c>
      <c r="O108" s="39">
        <f t="shared" si="19"/>
        <v>1.9103789970750416</v>
      </c>
      <c r="P108" s="38">
        <f>IFERROR(INDEX('Prior YTD Data Pull'!$A$2:$CB$605,MATCH('Prior YTD Data Table'!$C108,'Prior YTD Data Pull'!$A$2:$A$605,0),MATCH("Total Net Assets or Equity",'Prior YTD Data Pull'!$A$1:$CB$1,0)),"")</f>
        <v>25357755</v>
      </c>
      <c r="Q108" s="38">
        <f>IFERROR(INDEX('Prior YTD Data Pull'!$A$2:$CB$605,MATCH('Prior YTD Data Table'!$C108,'Prior YTD Data Pull'!$A$2:$A$605,0),MATCH("Total Operating Revenue",'Prior YTD Data Pull'!$A$1:$CB$1,0)),"")</f>
        <v>239175945</v>
      </c>
      <c r="R108" s="38">
        <f>IFERROR(INDEX('Prior YTD Data Pull'!$A$2:$CB$605,MATCH('Prior YTD Data Table'!$C108,'Prior YTD Data Pull'!$A$2:$A$605,0),MATCH("Total Unrestricted Revenue Gains and Other Support",'Prior YTD Data Pull'!$A$1:$CB$1,0)),"")</f>
        <v>239402273</v>
      </c>
      <c r="S108" s="38">
        <f>IFERROR(INDEX('Prior YTD TS Data Pull'!$J$2:$J$128,MATCH('Prior YTD Data Table'!$C108, 'Prior YTD TS Data Pull'!$A$2:$A$128,0))+INDEX('Prior YTD TS Data Pull'!$N$2:$N$128,MATCH('Prior YTD Data Table'!$C108,'Prior YTD TS Data Pull'!$A$2:$A$609,0))+INDEX('Prior YTD TS Data Pull'!$R$2:$R$128,MATCH('Prior YTD Data Table'!$C108,'Prior YTD TS Data Pull'!$A$2:$A$609,0)),"")</f>
        <v>1248106</v>
      </c>
      <c r="T108" s="38">
        <f>IF(INDEX('Prior YTD TS Data Pull'!$A$1:$O$609,MATCH('Prior YTD Data Table'!$C108,'Prior YTD TS Data Pull'!$A$1:$A$609,0),MATCH("Temporary RN Staffing:
Line Reported on in Standardized Financials",'Prior YTD TS Data Pull'!$A$1:$O$1,0))="66.1: Salary and Benefit Expense",'Prior YTD Data Table'!$AV108-'Prior YTD Data Table'!$S108,0)</f>
        <v>79762329</v>
      </c>
      <c r="U108" s="38">
        <f>IFERROR(INDEX('Prior YTD Data Pull'!$A$2:$CB$605,MATCH('Prior YTD Data Table'!$C108,'Prior YTD Data Pull'!$A$2:$A$605,0),MATCH("Total Expenses Including Nonrecurring Gains Losses",'Prior YTD Data Pull'!$A$1:$CB$1,0)),"")</f>
        <v>252726542</v>
      </c>
      <c r="V108" s="41">
        <f t="shared" si="20"/>
        <v>0</v>
      </c>
      <c r="W108" s="41">
        <f t="shared" si="21"/>
        <v>38.050915759983049</v>
      </c>
      <c r="X108" s="41">
        <f t="shared" si="13"/>
        <v>47.174974880379033</v>
      </c>
      <c r="Y108" s="37">
        <f t="shared" si="22"/>
        <v>-5.1154514116612121E-2</v>
      </c>
      <c r="Z108" s="41">
        <f t="shared" si="14"/>
        <v>-0.13868936827934855</v>
      </c>
      <c r="AA108" s="39">
        <f t="shared" si="23"/>
        <v>-4.1359936590945827E-2</v>
      </c>
      <c r="AB108" s="37">
        <f t="shared" si="24"/>
        <v>0.13070022696897673</v>
      </c>
      <c r="AC108" s="37">
        <f t="shared" si="25"/>
        <v>0.82616237710335017</v>
      </c>
      <c r="AD108" s="38">
        <f>IFERROR(INDEX('Prior YTD Data Pull'!$A$2:$CB$605,MATCH('Prior YTD Data Table'!$C108,'Prior YTD Data Pull'!$A$2:$A$605,0),MATCH("Net Patient Service Revenue",'Prior YTD Data Pull'!$A$1:$CB$1,0)),"")</f>
        <v>215280809</v>
      </c>
      <c r="AE108" s="38">
        <f>IFERROR(INDEX('Prior YTD Data Pull'!$A$2:$CB$605,MATCH('Prior YTD Data Table'!$C108,'Prior YTD Data Pull'!$A$2:$A$605,0),MATCH("Total Current Assets",'Prior YTD Data Pull'!$A$1:$CB$1,0)),"")</f>
        <v>132491401</v>
      </c>
      <c r="AF108" s="38">
        <f>IFERROR(INDEX('Prior YTD Data Pull'!$A$2:$CB$605,MATCH('Prior YTD Data Table'!$C108,'Prior YTD Data Pull'!$A$2:$A$605,0),MATCH("Total Current Liabilities",'Prior YTD Data Pull'!$A$1:$CB$1,0)),"")</f>
        <v>69353464</v>
      </c>
      <c r="AG108" s="38">
        <f>IFERROR(INDEX('Prior YTD Data Pull'!$A$2:$CB$605,MATCH('Prior YTD Data Table'!$C108,'Prior YTD Data Pull'!$A$2:$A$605,0),MATCH("Total Non Operating Revenue",'Prior YTD Data Pull'!$A$1:$CB$1,0)),"")</f>
        <v>226328</v>
      </c>
      <c r="AH108" s="38">
        <f>IFERROR(INDEX('Prior YTD Data Pull'!$A$2:$CB$605,MATCH('Prior YTD Data Table'!$C108,'Prior Year Data Pull'!$A$2:$A$593,0),MATCH("Less Accumulated Depreciation",'Prior YTD Data Pull'!$A$1:$CB$1,0)),"")</f>
        <v>0</v>
      </c>
      <c r="AI108" s="38">
        <f>IFERROR(INDEX('Prior YTD Data Pull'!$A$2:$CB$605,MATCH('Prior YTD Data Table'!$C108,'Prior YTD Data Pull'!$A$2:$A$605,0),MATCH("Depreciation and Amortization Expense",'Prior YTD Data Pull'!$A$1:$CB$1,0)),"")</f>
        <v>6103593</v>
      </c>
      <c r="AJ108" s="38">
        <f>IFERROR(INDEX('Prior YTD Data Pull'!$A$2:$CB$605,MATCH('Prior YTD Data Table'!$C108,'Prior YTD Data Pull'!$A$2:$A$605,0),MATCH("Net Patient Accounts Receivable",'Prior YTD Data Pull'!$A$1:$CB$1,0)),"")</f>
        <v>44763016</v>
      </c>
      <c r="AK108" s="14" t="str">
        <f>IF('Prior YTD Data Pull'!$H107 = 6, "183", IF('Prior YTD Data Pull'!$H107 = 3, "93",""))</f>
        <v>183</v>
      </c>
      <c r="AL108" s="38">
        <f>IFERROR(INDEX('Prior YTD Data Pull'!$A$2:$CB$605,MATCH('Prior YTD Data Table'!$C108,'Prior YTD Data Pull'!$A$2:$A$605,0),MATCH("Estimated Third Party Settlements",'Prior YTD Data Pull'!$A$1:$CB$1,0)),"")</f>
        <v>5777336</v>
      </c>
      <c r="AM108" s="38">
        <f>IFERROR(INDEX('Prior YTD Data Pull'!$A$2:$CB$605,MATCH('Prior YTD Data Table'!$C108,'Prior YTD Data Pull'!$A$2:$A$605,0),MATCH("Current Liabilities due to Affiliates",'Prior YTD Data Pull'!$A$1:$CB$1,0)),"")</f>
        <v>42851923</v>
      </c>
      <c r="AN108" s="38">
        <f>IFERROR(INDEX('Prior YTD Data Pull'!$A$2:$CB$605,MATCH('Prior YTD Data Table'!$C108,'Prior YTD Data Pull'!$A$2:$A$605,0),MATCH("Short Term Investments",'Prior YTD Data Pull'!$A$1:$CB$1,0)),"")</f>
        <v>-241128</v>
      </c>
      <c r="AO108" s="38">
        <f>IFERROR(INDEX('Prior YTD Data Pull'!$A$2:$CB$605,MATCH('Prior YTD Data Table'!$C108,'Prior YTD Data Pull'!$A$2:$A$605,0),MATCH("Cash and Cash Equivalents",'Prior YTD Data Pull'!$A$1:$CB$1,0)),"")</f>
        <v>54221</v>
      </c>
      <c r="AP108" s="38">
        <f>IFERROR(INDEX('Prior YTD Data Pull'!$A$2:$CB$605,MATCH('Prior YTD Data Table'!$C108,'Prior YTD Data Pull'!$A$2:$A$605,0),MATCH("Interest Expense",'Prior YTD Data Pull'!$A$1:$CB$1,0)),"")</f>
        <v>3029595</v>
      </c>
      <c r="AQ108" s="38">
        <f>IFERROR(INDEX('Prior YTD Data Pull'!$A$2:$CB$605,MATCH('Prior YTD Data Table'!$C108,'Prior YTD Data Pull'!$A$2:$A$605,0),MATCH("Long Term Debt Net of Current Portion",'Prior YTD Data Pull'!$A$1:$CB$1,0)),"")</f>
        <v>98302306</v>
      </c>
      <c r="AR108" s="38">
        <f>IFERROR(INDEX('Prior YTD Data Pull'!$A$2:$CB$605,MATCH('Prior YTD Data Table'!$C108,'Prior YTD Data Pull'!$A$2:$A$605,0),MATCH("Total Assets",'Prior YTD Data Pull'!$A$1:$CB$1,0)),"")</f>
        <v>194014621</v>
      </c>
      <c r="AS108" s="38">
        <f>IFERROR(INDEX('Prior YTD Data Pull'!$A$2:$CB$605,MATCH('Prior YTD Data Table'!$C108,'Prior YTD Data Pull'!$A$2:$A$605,0),MATCH("Long Term Debt Net of Current Portion",'Prior YTD Data Pull'!$A$1:$CB$1,0)),"")</f>
        <v>98302306</v>
      </c>
      <c r="AT108" s="38">
        <f>IFERROR(INDEX('Prior YTD Data Pull'!$A$2:$CB$605,MATCH('Prior YTD Data Table'!$C108,'Prior YTD Data Pull'!$A$2:$A$605,0),MATCH("Net Unrestricted Assets",'Prior YTD Data Pull'!$A$1:$CB$1,0)),"")</f>
        <v>20684359</v>
      </c>
      <c r="AU108" s="38">
        <f>IFERROR(INDEX('Prior YTD Data Pull'!$A$2:$CB$605,MATCH('Prior YTD Data Table'!$C108,'Prior YTD Data Pull'!$A$2:$A$605,0),MATCH("Unrealized Gains/Losses",'Prior YTD Data Pull'!$A$1:$CB$1,0)),"")</f>
        <v>0</v>
      </c>
      <c r="AV108" s="38">
        <f>IFERROR(INDEX('Prior YTD Data Pull'!$A$2:$CB$605,MATCH('Prior YTD Data Table'!$C108,'Prior YTD Data Pull'!$A$2:$A$605,0),MATCH("Salary and Benefit Expense",'Prior YTD Data Pull'!$A$1:$CB$1,0)),"")</f>
        <v>81010435</v>
      </c>
      <c r="AW108" s="38"/>
      <c r="AX108" s="38"/>
      <c r="AY108" s="38"/>
      <c r="AZ108" s="38"/>
    </row>
    <row r="109" spans="1:52" ht="34.200000000000003" x14ac:dyDescent="0.3">
      <c r="A109" s="14" t="str">
        <f>IFERROR(INDEX('Static Data Tab'!$N$2:$N$610,MATCH(D109,'Static Data Tab'!$D$2:$D$610,0)), "")</f>
        <v>Valley Health System</v>
      </c>
      <c r="B109" s="57" t="s">
        <v>205</v>
      </c>
      <c r="C109" s="57">
        <v>77</v>
      </c>
      <c r="D109" s="57">
        <v>12767</v>
      </c>
      <c r="E109" s="14" t="str">
        <f>IFERROR(INDEX('Prior YTD Data Pull'!$A$1:$CB$605,MATCH('Prior YTD Data Table'!$C109,'Prior YTD Data Pull'!$A$1:$A$605,0),MATCH("Organization Type",'Prior YTD Data Pull'!$A$1:$CB$1,0)),"")</f>
        <v>AcuteHospital</v>
      </c>
      <c r="F109" s="14" t="str">
        <f>IFERROR(INDEX('Static Data Tab'!$E$2:$E$610,MATCH('Prior YTD Data Table'!$C109,'Static Data Tab'!$B$2:$B$610,0)), "-")</f>
        <v>Community-High Public Payer Hospital</v>
      </c>
      <c r="G109" s="46" t="str">
        <f>IFERROR(INDEX('Static Data Tab'!$J$2:$J$610,MATCH('Prior YTD Data Table'!$C109,'Static Data Tab'!$B$2:$B$610,0)), "")</f>
        <v>Western Massachusetts</v>
      </c>
      <c r="H109" s="14" t="str">
        <f>IFERROR(INDEX('Static Data Tab'!$F$2:$F$610,MATCH('Prior YTD Data Table'!$C109,'Static Data Tab'!$B$2:$B$610,0)), "")</f>
        <v>x</v>
      </c>
      <c r="I109" s="14">
        <f>IFERROR(INDEX('Static Data Tab'!$G$2:$G$610,MATCH('Prior YTD Data Table'!$C109,'Static Data Tab'!$B$2:$B$610,0)), "")</f>
        <v>0</v>
      </c>
      <c r="J109" s="14" t="str">
        <f>IFERROR(INDEX('Prior YTD Data Pull'!$A$2:$CB$605,MATCH('Prior YTD Data Table'!$C109,'Prior YTD Data Pull'!$A$2:$A$605,0),MATCH("Quarter Range",'Prior YTD Data Pull'!$A$1:$CB$1,0)),"")</f>
        <v xml:space="preserve">10/01/2024-03/31/2025
</v>
      </c>
      <c r="K109" s="37">
        <f t="shared" si="15"/>
        <v>3.6380504688463523E-2</v>
      </c>
      <c r="L109" s="37">
        <f t="shared" si="16"/>
        <v>9.7157988259332761E-4</v>
      </c>
      <c r="M109" s="37">
        <f t="shared" si="17"/>
        <v>3.7352084571056855E-2</v>
      </c>
      <c r="N109" s="38">
        <f t="shared" si="18"/>
        <v>5386908</v>
      </c>
      <c r="O109" s="39">
        <f t="shared" si="19"/>
        <v>1.0197295868416338</v>
      </c>
      <c r="P109" s="38">
        <f>IFERROR(INDEX('Prior YTD Data Pull'!$A$2:$CB$605,MATCH('Prior YTD Data Table'!$C109,'Prior YTD Data Pull'!$A$2:$A$605,0),MATCH("Total Net Assets or Equity",'Prior YTD Data Pull'!$A$1:$CB$1,0)),"")</f>
        <v>48647443</v>
      </c>
      <c r="Q109" s="38">
        <f>IFERROR(INDEX('Prior YTD Data Pull'!$A$2:$CB$605,MATCH('Prior YTD Data Table'!$C109,'Prior YTD Data Pull'!$A$2:$A$605,0),MATCH("Total Operating Revenue",'Prior YTD Data Pull'!$A$1:$CB$1,0)),"")</f>
        <v>144079621</v>
      </c>
      <c r="R109" s="38">
        <f>IFERROR(INDEX('Prior YTD Data Pull'!$A$2:$CB$605,MATCH('Prior YTD Data Table'!$C109,'Prior YTD Data Pull'!$A$2:$A$605,0),MATCH("Total Unrestricted Revenue Gains and Other Support",'Prior YTD Data Pull'!$A$1:$CB$1,0)),"")</f>
        <v>144219742</v>
      </c>
      <c r="S109" s="38">
        <f>IFERROR(INDEX('Prior YTD TS Data Pull'!$J$2:$J$128,MATCH('Prior YTD Data Table'!$C109, 'Prior YTD TS Data Pull'!$A$2:$A$128,0))+INDEX('Prior YTD TS Data Pull'!$N$2:$N$128,MATCH('Prior YTD Data Table'!$C109,'Prior YTD TS Data Pull'!$A$2:$A$609,0))+INDEX('Prior YTD TS Data Pull'!$R$2:$R$128,MATCH('Prior YTD Data Table'!$C109,'Prior YTD TS Data Pull'!$A$2:$A$609,0)),"")</f>
        <v>794327.88</v>
      </c>
      <c r="T109" s="38">
        <f>IF(INDEX('Prior YTD TS Data Pull'!$A$1:$O$609,MATCH('Prior YTD Data Table'!$C109,'Prior YTD TS Data Pull'!$A$1:$A$609,0),MATCH("Temporary RN Staffing:
Line Reported on in Standardized Financials",'Prior YTD TS Data Pull'!$A$1:$O$1,0))="66.1: Salary and Benefit Expense",'Prior YTD Data Table'!$AV109-'Prior YTD Data Table'!$S109,0)</f>
        <v>0</v>
      </c>
      <c r="U109" s="38">
        <f>IFERROR(INDEX('Prior YTD Data Pull'!$A$2:$CB$605,MATCH('Prior YTD Data Table'!$C109,'Prior YTD Data Pull'!$A$2:$A$605,0),MATCH("Total Expenses Including Nonrecurring Gains Losses",'Prior YTD Data Pull'!$A$1:$CB$1,0)),"")</f>
        <v>138832834</v>
      </c>
      <c r="V109" s="41">
        <f t="shared" si="20"/>
        <v>13.674779308953347</v>
      </c>
      <c r="W109" s="41">
        <f t="shared" si="21"/>
        <v>45.078314041200201</v>
      </c>
      <c r="X109" s="41">
        <f t="shared" si="13"/>
        <v>70.710486169262126</v>
      </c>
      <c r="Y109" s="37">
        <f t="shared" si="22"/>
        <v>0.47031214498415552</v>
      </c>
      <c r="Z109" s="41">
        <f t="shared" si="14"/>
        <v>20.454557732352523</v>
      </c>
      <c r="AA109" s="39">
        <f t="shared" si="23"/>
        <v>0.48313903892989341</v>
      </c>
      <c r="AB109" s="37">
        <f t="shared" si="24"/>
        <v>0.37342431220914357</v>
      </c>
      <c r="AC109" s="37">
        <f t="shared" si="25"/>
        <v>0.30155371671392445</v>
      </c>
      <c r="AD109" s="38">
        <f>IFERROR(INDEX('Prior YTD Data Pull'!$A$2:$CB$605,MATCH('Prior YTD Data Table'!$C109,'Prior YTD Data Pull'!$A$2:$A$605,0),MATCH("Net Patient Service Revenue",'Prior YTD Data Pull'!$A$1:$CB$1,0)),"")</f>
        <v>119604797</v>
      </c>
      <c r="AE109" s="38">
        <f>IFERROR(INDEX('Prior YTD Data Pull'!$A$2:$CB$605,MATCH('Prior YTD Data Table'!$C109,'Prior YTD Data Pull'!$A$2:$A$605,0),MATCH("Total Current Assets",'Prior YTD Data Pull'!$A$1:$CB$1,0)),"")</f>
        <v>59192950</v>
      </c>
      <c r="AF109" s="38">
        <f>IFERROR(INDEX('Prior YTD Data Pull'!$A$2:$CB$605,MATCH('Prior YTD Data Table'!$C109,'Prior YTD Data Pull'!$A$2:$A$605,0),MATCH("Total Current Liabilities",'Prior YTD Data Pull'!$A$1:$CB$1,0)),"")</f>
        <v>58047693</v>
      </c>
      <c r="AG109" s="38">
        <f>IFERROR(INDEX('Prior YTD Data Pull'!$A$2:$CB$605,MATCH('Prior YTD Data Table'!$C109,'Prior YTD Data Pull'!$A$2:$A$605,0),MATCH("Total Non Operating Revenue",'Prior YTD Data Pull'!$A$1:$CB$1,0)),"")</f>
        <v>140121</v>
      </c>
      <c r="AH109" s="38">
        <f>IFERROR(INDEX('Prior YTD Data Pull'!$A$2:$CB$605,MATCH('Prior YTD Data Table'!$C109,'Prior Year Data Pull'!$A$2:$A$593,0),MATCH("Less Accumulated Depreciation",'Prior YTD Data Pull'!$A$1:$CB$1,0)),"")</f>
        <v>46494277</v>
      </c>
      <c r="AI109" s="38">
        <f>IFERROR(INDEX('Prior YTD Data Pull'!$A$2:$CB$605,MATCH('Prior YTD Data Table'!$C109,'Prior YTD Data Pull'!$A$2:$A$605,0),MATCH("Depreciation and Amortization Expense",'Prior YTD Data Pull'!$A$1:$CB$1,0)),"")</f>
        <v>3400002</v>
      </c>
      <c r="AJ109" s="38">
        <f>IFERROR(INDEX('Prior YTD Data Pull'!$A$2:$CB$605,MATCH('Prior YTD Data Table'!$C109,'Prior YTD Data Pull'!$A$2:$A$605,0),MATCH("Net Patient Accounts Receivable",'Prior YTD Data Pull'!$A$1:$CB$1,0)),"")</f>
        <v>29462200</v>
      </c>
      <c r="AK109" s="14" t="str">
        <f>IF('Prior YTD Data Pull'!$H108 = 6, "183", IF('Prior YTD Data Pull'!$H108 = 3, "93",""))</f>
        <v>183</v>
      </c>
      <c r="AL109" s="38">
        <f>IFERROR(INDEX('Prior YTD Data Pull'!$A$2:$CB$605,MATCH('Prior YTD Data Table'!$C109,'Prior YTD Data Pull'!$A$2:$A$605,0),MATCH("Estimated Third Party Settlements",'Prior YTD Data Pull'!$A$1:$CB$1,0)),"")</f>
        <v>5716975</v>
      </c>
      <c r="AM109" s="38">
        <f>IFERROR(INDEX('Prior YTD Data Pull'!$A$2:$CB$605,MATCH('Prior YTD Data Table'!$C109,'Prior YTD Data Pull'!$A$2:$A$605,0),MATCH("Current Liabilities due to Affiliates",'Prior YTD Data Pull'!$A$1:$CB$1,0)),"")</f>
        <v>0</v>
      </c>
      <c r="AN109" s="38">
        <f>IFERROR(INDEX('Prior YTD Data Pull'!$A$2:$CB$605,MATCH('Prior YTD Data Table'!$C109,'Prior YTD Data Pull'!$A$2:$A$605,0),MATCH("Short Term Investments",'Prior YTD Data Pull'!$A$1:$CB$1,0)),"")</f>
        <v>66622</v>
      </c>
      <c r="AO109" s="38">
        <f>IFERROR(INDEX('Prior YTD Data Pull'!$A$2:$CB$605,MATCH('Prior YTD Data Table'!$C109,'Prior YTD Data Pull'!$A$2:$A$605,0),MATCH("Cash and Cash Equivalents",'Prior YTD Data Pull'!$A$1:$CB$1,0)),"")</f>
        <v>15071185</v>
      </c>
      <c r="AP109" s="38">
        <f>IFERROR(INDEX('Prior YTD Data Pull'!$A$2:$CB$605,MATCH('Prior YTD Data Table'!$C109,'Prior YTD Data Pull'!$A$2:$A$605,0),MATCH("Interest Expense",'Prior YTD Data Pull'!$A$1:$CB$1,0)),"")</f>
        <v>463658</v>
      </c>
      <c r="AQ109" s="38">
        <f>IFERROR(INDEX('Prior YTD Data Pull'!$A$2:$CB$605,MATCH('Prior YTD Data Table'!$C109,'Prior YTD Data Pull'!$A$2:$A$605,0),MATCH("Long Term Debt Net of Current Portion",'Prior YTD Data Pull'!$A$1:$CB$1,0)),"")</f>
        <v>18683145</v>
      </c>
      <c r="AR109" s="38">
        <f>IFERROR(INDEX('Prior YTD Data Pull'!$A$2:$CB$605,MATCH('Prior YTD Data Table'!$C109,'Prior YTD Data Pull'!$A$2:$A$605,0),MATCH("Total Assets",'Prior YTD Data Pull'!$A$1:$CB$1,0)),"")</f>
        <v>130273904</v>
      </c>
      <c r="AS109" s="38">
        <f>IFERROR(INDEX('Prior YTD Data Pull'!$A$2:$CB$605,MATCH('Prior YTD Data Table'!$C109,'Prior YTD Data Pull'!$A$2:$A$605,0),MATCH("Long Term Debt Net of Current Portion",'Prior YTD Data Pull'!$A$1:$CB$1,0)),"")</f>
        <v>18683145</v>
      </c>
      <c r="AT109" s="38">
        <f>IFERROR(INDEX('Prior YTD Data Pull'!$A$2:$CB$605,MATCH('Prior YTD Data Table'!$C109,'Prior YTD Data Pull'!$A$2:$A$605,0),MATCH("Net Unrestricted Assets",'Prior YTD Data Pull'!$A$1:$CB$1,0)),"")</f>
        <v>43273130</v>
      </c>
      <c r="AU109" s="38">
        <f>IFERROR(INDEX('Prior YTD Data Pull'!$A$2:$CB$605,MATCH('Prior YTD Data Table'!$C109,'Prior YTD Data Pull'!$A$2:$A$605,0),MATCH("Unrealized Gains/Losses",'Prior YTD Data Pull'!$A$1:$CB$1,0)),"")</f>
        <v>0</v>
      </c>
      <c r="AV109" s="38">
        <f>IFERROR(INDEX('Prior YTD Data Pull'!$A$2:$CB$605,MATCH('Prior YTD Data Table'!$C109,'Prior YTD Data Pull'!$A$2:$A$605,0),MATCH("Salary and Benefit Expense",'Prior YTD Data Pull'!$A$1:$CB$1,0)),"")</f>
        <v>83190542</v>
      </c>
      <c r="AW109" s="47"/>
      <c r="AX109" s="47"/>
      <c r="AY109" s="47"/>
      <c r="AZ109" s="47"/>
    </row>
    <row r="110" spans="1:52" ht="34.200000000000003" x14ac:dyDescent="0.3">
      <c r="A110" s="14" t="str">
        <f>IFERROR(INDEX('Static Data Tab'!$N$2:$N$610,MATCH(D110,'Static Data Tab'!$D$2:$D$610,0)), "")</f>
        <v>UMass Memorial Health Care</v>
      </c>
      <c r="B110" s="57" t="s">
        <v>200</v>
      </c>
      <c r="C110" s="57">
        <v>133</v>
      </c>
      <c r="D110" s="57">
        <v>6755</v>
      </c>
      <c r="E110" s="14" t="str">
        <f>IFERROR(INDEX('Prior YTD Data Pull'!$A$1:$CB$605,MATCH('Prior YTD Data Table'!$C110,'Prior YTD Data Pull'!$A$1:$A$605,0),MATCH("Organization Type",'Prior YTD Data Pull'!$A$1:$CB$1,0)),"")</f>
        <v>AcuteHospital</v>
      </c>
      <c r="F110" s="14" t="str">
        <f>IFERROR(INDEX('Static Data Tab'!$E$2:$E$610,MATCH('Prior YTD Data Table'!$C110,'Static Data Tab'!$B$2:$B$610,0)), "-")</f>
        <v>Community-High Public Payer Hospital</v>
      </c>
      <c r="G110" s="46" t="str">
        <f>IFERROR(INDEX('Static Data Tab'!$J$2:$J$610,MATCH('Prior YTD Data Table'!$C110,'Static Data Tab'!$B$2:$B$610,0)), "")</f>
        <v>Metro West</v>
      </c>
      <c r="H110" s="14" t="str">
        <f>IFERROR(INDEX('Static Data Tab'!$F$2:$F$610,MATCH('Prior YTD Data Table'!$C110,'Static Data Tab'!$B$2:$B$610,0)), "")</f>
        <v>x</v>
      </c>
      <c r="I110" s="14">
        <f>IFERROR(INDEX('Static Data Tab'!$G$2:$G$610,MATCH('Prior YTD Data Table'!$C110,'Static Data Tab'!$B$2:$B$610,0)), "")</f>
        <v>0</v>
      </c>
      <c r="J110" s="14" t="str">
        <f>IFERROR(INDEX('Prior YTD Data Pull'!$A$2:$CB$605,MATCH('Prior YTD Data Table'!$C110,'Prior YTD Data Pull'!$A$2:$A$605,0),MATCH("Quarter Range",'Prior YTD Data Pull'!$A$1:$CB$1,0)),"")</f>
        <v xml:space="preserve">10/01/2024-03/31/2025
</v>
      </c>
      <c r="K110" s="37">
        <f t="shared" si="15"/>
        <v>3.2536360625131738E-2</v>
      </c>
      <c r="L110" s="37">
        <f t="shared" si="16"/>
        <v>1.0990996416634044E-2</v>
      </c>
      <c r="M110" s="37">
        <f t="shared" si="17"/>
        <v>4.3527357041765788E-2</v>
      </c>
      <c r="N110" s="38">
        <f t="shared" si="18"/>
        <v>2891000</v>
      </c>
      <c r="O110" s="39">
        <f t="shared" si="19"/>
        <v>1.0853441998901421</v>
      </c>
      <c r="P110" s="38">
        <f>IFERROR(INDEX('Prior YTD Data Pull'!$A$2:$CB$605,MATCH('Prior YTD Data Table'!$C110,'Prior YTD Data Pull'!$A$2:$A$605,0),MATCH("Total Net Assets or Equity",'Prior YTD Data Pull'!$A$1:$CB$1,0)),"")</f>
        <v>64445000</v>
      </c>
      <c r="Q110" s="38">
        <f>IFERROR(INDEX('Prior YTD Data Pull'!$A$2:$CB$605,MATCH('Prior YTD Data Table'!$C110,'Prior YTD Data Pull'!$A$2:$A$605,0),MATCH("Total Operating Revenue",'Prior YTD Data Pull'!$A$1:$CB$1,0)),"")</f>
        <v>65688000</v>
      </c>
      <c r="R110" s="38">
        <f>IFERROR(INDEX('Prior YTD Data Pull'!$A$2:$CB$605,MATCH('Prior YTD Data Table'!$C110,'Prior YTD Data Pull'!$A$2:$A$605,0),MATCH("Total Unrestricted Revenue Gains and Other Support",'Prior YTD Data Pull'!$A$1:$CB$1,0)),"")</f>
        <v>66418000</v>
      </c>
      <c r="S110" s="38">
        <f>IFERROR(INDEX('Prior YTD TS Data Pull'!$J$2:$J$128,MATCH('Prior YTD Data Table'!$C110, 'Prior YTD TS Data Pull'!$A$2:$A$128,0))+INDEX('Prior YTD TS Data Pull'!$N$2:$N$128,MATCH('Prior YTD Data Table'!$C110,'Prior YTD TS Data Pull'!$A$2:$A$609,0))+INDEX('Prior YTD TS Data Pull'!$R$2:$R$128,MATCH('Prior YTD Data Table'!$C110,'Prior YTD TS Data Pull'!$A$2:$A$609,0)),"")</f>
        <v>2219611.0499999998</v>
      </c>
      <c r="T110" s="38">
        <f>IF(INDEX('Prior YTD TS Data Pull'!$A$1:$O$609,MATCH('Prior YTD Data Table'!$C110,'Prior YTD TS Data Pull'!$A$1:$A$609,0),MATCH("Temporary RN Staffing:
Line Reported on in Standardized Financials",'Prior YTD TS Data Pull'!$A$1:$O$1,0))="66.1: Salary and Benefit Expense",'Prior YTD Data Table'!$AV110-'Prior YTD Data Table'!$S110,0)</f>
        <v>0</v>
      </c>
      <c r="U110" s="38">
        <f>IFERROR(INDEX('Prior YTD Data Pull'!$A$2:$CB$605,MATCH('Prior YTD Data Table'!$C110,'Prior YTD Data Pull'!$A$2:$A$605,0),MATCH("Total Expenses Including Nonrecurring Gains Losses",'Prior YTD Data Pull'!$A$1:$CB$1,0)),"")</f>
        <v>63527000</v>
      </c>
      <c r="V110" s="41">
        <f t="shared" si="20"/>
        <v>0</v>
      </c>
      <c r="W110" s="41" t="str">
        <f t="shared" si="21"/>
        <v/>
      </c>
      <c r="X110" s="41" t="str">
        <f t="shared" si="13"/>
        <v/>
      </c>
      <c r="Y110" s="37">
        <f t="shared" si="22"/>
        <v>3.201347935973041E-2</v>
      </c>
      <c r="Z110" s="41" t="str">
        <f t="shared" si="14"/>
        <v/>
      </c>
      <c r="AA110" s="39">
        <f t="shared" si="23"/>
        <v>13.770491803278688</v>
      </c>
      <c r="AB110" s="37">
        <f t="shared" si="24"/>
        <v>0.27556849766101377</v>
      </c>
      <c r="AC110" s="37">
        <f t="shared" si="25"/>
        <v>0</v>
      </c>
      <c r="AD110" s="38">
        <f>IFERROR(INDEX('Prior YTD Data Pull'!$A$2:$CB$605,MATCH('Prior YTD Data Table'!$C110,'Prior YTD Data Pull'!$A$2:$A$605,0),MATCH("Net Patient Service Revenue",'Prior YTD Data Pull'!$A$1:$CB$1,0)),"")</f>
        <v>64148000</v>
      </c>
      <c r="AE110" s="38">
        <f>IFERROR(INDEX('Prior YTD Data Pull'!$A$2:$CB$605,MATCH('Prior YTD Data Table'!$C110,'Prior YTD Data Pull'!$A$2:$A$605,0),MATCH("Total Current Assets",'Prior YTD Data Pull'!$A$1:$CB$1,0)),"")</f>
        <v>169928000</v>
      </c>
      <c r="AF110" s="38">
        <f>IFERROR(INDEX('Prior YTD Data Pull'!$A$2:$CB$605,MATCH('Prior YTD Data Table'!$C110,'Prior YTD Data Pull'!$A$2:$A$605,0),MATCH("Total Current Liabilities",'Prior YTD Data Pull'!$A$1:$CB$1,0)),"")</f>
        <v>156566000</v>
      </c>
      <c r="AG110" s="38">
        <f>IFERROR(INDEX('Prior YTD Data Pull'!$A$2:$CB$605,MATCH('Prior YTD Data Table'!$C110,'Prior YTD Data Pull'!$A$2:$A$605,0),MATCH("Total Non Operating Revenue",'Prior YTD Data Pull'!$A$1:$CB$1,0)),"")</f>
        <v>730000</v>
      </c>
      <c r="AH110" s="38">
        <f>IFERROR(INDEX('Prior YTD Data Pull'!$A$2:$CB$605,MATCH('Prior YTD Data Table'!$C110,'Prior Year Data Pull'!$A$2:$A$593,0),MATCH("Less Accumulated Depreciation",'Prior YTD Data Pull'!$A$1:$CB$1,0)),"")</f>
        <v>0</v>
      </c>
      <c r="AI110" s="38">
        <f>IFERROR(INDEX('Prior YTD Data Pull'!$A$2:$CB$605,MATCH('Prior YTD Data Table'!$C110,'Prior YTD Data Pull'!$A$2:$A$605,0),MATCH("Depreciation and Amortization Expense",'Prior YTD Data Pull'!$A$1:$CB$1,0)),"")</f>
        <v>1783000</v>
      </c>
      <c r="AJ110" s="38">
        <f>IFERROR(INDEX('Prior YTD Data Pull'!$A$2:$CB$605,MATCH('Prior YTD Data Table'!$C110,'Prior YTD Data Pull'!$A$2:$A$605,0),MATCH("Net Patient Accounts Receivable",'Prior YTD Data Pull'!$A$1:$CB$1,0)),"")</f>
        <v>24540000</v>
      </c>
      <c r="AK110" s="14" t="str">
        <f>IF('Prior YTD Data Pull'!$H109 = 6, "183", IF('Prior YTD Data Pull'!$H109 = 3, "93",""))</f>
        <v/>
      </c>
      <c r="AL110" s="38">
        <f>IFERROR(INDEX('Prior YTD Data Pull'!$A$2:$CB$605,MATCH('Prior YTD Data Table'!$C110,'Prior YTD Data Pull'!$A$2:$A$605,0),MATCH("Estimated Third Party Settlements",'Prior YTD Data Pull'!$A$1:$CB$1,0)),"")</f>
        <v>484000</v>
      </c>
      <c r="AM110" s="38">
        <f>IFERROR(INDEX('Prior YTD Data Pull'!$A$2:$CB$605,MATCH('Prior YTD Data Table'!$C110,'Prior YTD Data Pull'!$A$2:$A$605,0),MATCH("Current Liabilities due to Affiliates",'Prior YTD Data Pull'!$A$1:$CB$1,0)),"")</f>
        <v>146001000</v>
      </c>
      <c r="AN110" s="38">
        <f>IFERROR(INDEX('Prior YTD Data Pull'!$A$2:$CB$605,MATCH('Prior YTD Data Table'!$C110,'Prior YTD Data Pull'!$A$2:$A$605,0),MATCH("Short Term Investments",'Prior YTD Data Pull'!$A$1:$CB$1,0)),"")</f>
        <v>455000</v>
      </c>
      <c r="AO110" s="38">
        <f>IFERROR(INDEX('Prior YTD Data Pull'!$A$2:$CB$605,MATCH('Prior YTD Data Table'!$C110,'Prior YTD Data Pull'!$A$2:$A$605,0),MATCH("Cash and Cash Equivalents",'Prior YTD Data Pull'!$A$1:$CB$1,0)),"")</f>
        <v>1934000</v>
      </c>
      <c r="AP110" s="38">
        <f>IFERROR(INDEX('Prior YTD Data Pull'!$A$2:$CB$605,MATCH('Prior YTD Data Table'!$C110,'Prior YTD Data Pull'!$A$2:$A$605,0),MATCH("Interest Expense",'Prior YTD Data Pull'!$A$1:$CB$1,0)),"")</f>
        <v>366000</v>
      </c>
      <c r="AQ110" s="38">
        <f>IFERROR(INDEX('Prior YTD Data Pull'!$A$2:$CB$605,MATCH('Prior YTD Data Table'!$C110,'Prior YTD Data Pull'!$A$2:$A$605,0),MATCH("Long Term Debt Net of Current Portion",'Prior YTD Data Pull'!$A$1:$CB$1,0)),"")</f>
        <v>0</v>
      </c>
      <c r="AR110" s="38">
        <f>IFERROR(INDEX('Prior YTD Data Pull'!$A$2:$CB$605,MATCH('Prior YTD Data Table'!$C110,'Prior YTD Data Pull'!$A$2:$A$605,0),MATCH("Total Assets",'Prior YTD Data Pull'!$A$1:$CB$1,0)),"")</f>
        <v>233862000</v>
      </c>
      <c r="AS110" s="38">
        <f>IFERROR(INDEX('Prior YTD Data Pull'!$A$2:$CB$605,MATCH('Prior YTD Data Table'!$C110,'Prior YTD Data Pull'!$A$2:$A$605,0),MATCH("Long Term Debt Net of Current Portion",'Prior YTD Data Pull'!$A$1:$CB$1,0)),"")</f>
        <v>0</v>
      </c>
      <c r="AT110" s="38">
        <f>IFERROR(INDEX('Prior YTD Data Pull'!$A$2:$CB$605,MATCH('Prior YTD Data Table'!$C110,'Prior YTD Data Pull'!$A$2:$A$605,0),MATCH("Net Unrestricted Assets",'Prior YTD Data Pull'!$A$1:$CB$1,0)),"")</f>
        <v>58760000</v>
      </c>
      <c r="AU110" s="38">
        <f>IFERROR(INDEX('Prior YTD Data Pull'!$A$2:$CB$605,MATCH('Prior YTD Data Table'!$C110,'Prior YTD Data Pull'!$A$2:$A$605,0),MATCH("Unrealized Gains/Losses",'Prior YTD Data Pull'!$A$1:$CB$1,0)),"")</f>
        <v>0</v>
      </c>
      <c r="AV110" s="38">
        <f>IFERROR(INDEX('Prior YTD Data Pull'!$A$2:$CB$605,MATCH('Prior YTD Data Table'!$C110,'Prior YTD Data Pull'!$A$2:$A$605,0),MATCH("Salary and Benefit Expense",'Prior YTD Data Pull'!$A$1:$CB$1,0)),"")</f>
        <v>24650000</v>
      </c>
      <c r="AW110" s="38"/>
      <c r="AX110" s="38"/>
      <c r="AY110" s="38"/>
      <c r="AZ110" s="38"/>
    </row>
    <row r="111" spans="1:52" ht="34.200000000000003" x14ac:dyDescent="0.3">
      <c r="A111" s="14" t="str">
        <f>IFERROR(INDEX('Static Data Tab'!$N$2:$N$610,MATCH(D111,'Static Data Tab'!$D$2:$D$610,0)), "")</f>
        <v>Cape Cod Healthcare</v>
      </c>
      <c r="B111" s="57" t="s">
        <v>125</v>
      </c>
      <c r="C111" s="57">
        <v>40</v>
      </c>
      <c r="D111" s="57">
        <v>3109</v>
      </c>
      <c r="E111" s="14" t="str">
        <f>IFERROR(INDEX('Prior YTD Data Pull'!$A$1:$CB$605,MATCH('Prior YTD Data Table'!$C111,'Prior YTD Data Pull'!$A$1:$A$605,0),MATCH("Organization Type",'Prior YTD Data Pull'!$A$1:$CB$1,0)),"")</f>
        <v>AcuteHospital</v>
      </c>
      <c r="F111" s="14" t="str">
        <f>IFERROR(INDEX('Static Data Tab'!$E$2:$E$610,MATCH('Prior YTD Data Table'!$C111,'Static Data Tab'!$B$2:$B$610,0)), "-")</f>
        <v>Community-High Public Payer Hospital</v>
      </c>
      <c r="G111" s="46" t="str">
        <f>IFERROR(INDEX('Static Data Tab'!$J$2:$J$610,MATCH('Prior YTD Data Table'!$C111,'Static Data Tab'!$B$2:$B$610,0)), "")</f>
        <v>Cape and Islands</v>
      </c>
      <c r="H111" s="14" t="str">
        <f>IFERROR(INDEX('Static Data Tab'!$F$2:$F$610,MATCH('Prior YTD Data Table'!$C111,'Static Data Tab'!$B$2:$B$610,0)), "")</f>
        <v>x</v>
      </c>
      <c r="I111" s="14">
        <f>IFERROR(INDEX('Static Data Tab'!$G$2:$G$610,MATCH('Prior YTD Data Table'!$C111,'Static Data Tab'!$B$2:$B$610,0)), "")</f>
        <v>0</v>
      </c>
      <c r="J111" s="14" t="str">
        <f>IFERROR(INDEX('Prior YTD Data Pull'!$A$2:$CB$605,MATCH('Prior YTD Data Table'!$C111,'Prior YTD Data Pull'!$A$2:$A$605,0),MATCH("Quarter Range",'Prior YTD Data Pull'!$A$1:$CB$1,0)),"")</f>
        <v xml:space="preserve">10/01/2024-03/31/2025
</v>
      </c>
      <c r="K111" s="37">
        <f t="shared" si="15"/>
        <v>3.3841825974524765E-2</v>
      </c>
      <c r="L111" s="37">
        <f t="shared" si="16"/>
        <v>-2.3226401849540477E-3</v>
      </c>
      <c r="M111" s="37">
        <f t="shared" si="17"/>
        <v>3.1519185789570713E-2</v>
      </c>
      <c r="N111" s="38">
        <f t="shared" si="18"/>
        <v>3079968</v>
      </c>
      <c r="O111" s="39">
        <f t="shared" si="19"/>
        <v>0.42551982532413013</v>
      </c>
      <c r="P111" s="38">
        <f>IFERROR(INDEX('Prior YTD Data Pull'!$A$2:$CB$605,MATCH('Prior YTD Data Table'!$C111,'Prior YTD Data Pull'!$A$2:$A$605,0),MATCH("Total Net Assets or Equity",'Prior YTD Data Pull'!$A$1:$CB$1,0)),"")</f>
        <v>268598735</v>
      </c>
      <c r="Q111" s="38">
        <f>IFERROR(INDEX('Prior YTD Data Pull'!$A$2:$CB$605,MATCH('Prior YTD Data Table'!$C111,'Prior YTD Data Pull'!$A$2:$A$605,0),MATCH("Total Operating Revenue",'Prior YTD Data Pull'!$A$1:$CB$1,0)),"")</f>
        <v>97944207</v>
      </c>
      <c r="R111" s="38">
        <f>IFERROR(INDEX('Prior YTD Data Pull'!$A$2:$CB$605,MATCH('Prior YTD Data Table'!$C111,'Prior YTD Data Pull'!$A$2:$A$605,0),MATCH("Total Unrestricted Revenue Gains and Other Support",'Prior YTD Data Pull'!$A$1:$CB$1,0)),"")</f>
        <v>97717245</v>
      </c>
      <c r="S111" s="38">
        <f>IFERROR(INDEX('Prior YTD TS Data Pull'!$J$2:$J$128,MATCH('Prior YTD Data Table'!$C111, 'Prior YTD TS Data Pull'!$A$2:$A$128,0))+INDEX('Prior YTD TS Data Pull'!$N$2:$N$128,MATCH('Prior YTD Data Table'!$C111,'Prior YTD TS Data Pull'!$A$2:$A$609,0))+INDEX('Prior YTD TS Data Pull'!$R$2:$R$128,MATCH('Prior YTD Data Table'!$C111,'Prior YTD TS Data Pull'!$A$2:$A$609,0)),"")</f>
        <v>3106793</v>
      </c>
      <c r="T111" s="38">
        <f>IF(INDEX('Prior YTD TS Data Pull'!$A$1:$O$609,MATCH('Prior YTD Data Table'!$C111,'Prior YTD TS Data Pull'!$A$1:$A$609,0),MATCH("Temporary RN Staffing:
Line Reported on in Standardized Financials",'Prior YTD TS Data Pull'!$A$1:$O$1,0))="66.1: Salary and Benefit Expense",'Prior YTD Data Table'!$AV111-'Prior YTD Data Table'!$S111,0)</f>
        <v>48460330</v>
      </c>
      <c r="U111" s="38">
        <f>IFERROR(INDEX('Prior YTD Data Pull'!$A$2:$CB$605,MATCH('Prior YTD Data Table'!$C111,'Prior YTD Data Pull'!$A$2:$A$605,0),MATCH("Total Expenses Including Nonrecurring Gains Losses",'Prior YTD Data Pull'!$A$1:$CB$1,0)),"")</f>
        <v>94637277</v>
      </c>
      <c r="V111" s="41">
        <f t="shared" si="20"/>
        <v>23.395281856873485</v>
      </c>
      <c r="W111" s="41">
        <f t="shared" si="21"/>
        <v>34.535543742802446</v>
      </c>
      <c r="X111" s="41">
        <f t="shared" si="13"/>
        <v>123.39766860894198</v>
      </c>
      <c r="Y111" s="37">
        <f t="shared" si="22"/>
        <v>0.10679429849004531</v>
      </c>
      <c r="Z111" s="41">
        <f t="shared" si="14"/>
        <v>6.6495916957183523</v>
      </c>
      <c r="AA111" s="39">
        <f t="shared" si="23"/>
        <v>0.52215419024415211</v>
      </c>
      <c r="AB111" s="37">
        <f t="shared" si="24"/>
        <v>0.77743996925806114</v>
      </c>
      <c r="AC111" s="37">
        <f t="shared" si="25"/>
        <v>4.6182328580112952E-2</v>
      </c>
      <c r="AD111" s="38">
        <f>IFERROR(INDEX('Prior YTD Data Pull'!$A$2:$CB$605,MATCH('Prior YTD Data Table'!$C111,'Prior YTD Data Pull'!$A$2:$A$605,0),MATCH("Net Patient Service Revenue",'Prior YTD Data Pull'!$A$1:$CB$1,0)),"")</f>
        <v>96465893</v>
      </c>
      <c r="AE111" s="38">
        <f>IFERROR(INDEX('Prior YTD Data Pull'!$A$2:$CB$605,MATCH('Prior YTD Data Table'!$C111,'Prior YTD Data Pull'!$A$2:$A$605,0),MATCH("Total Current Assets",'Prior YTD Data Pull'!$A$1:$CB$1,0)),"")</f>
        <v>27594883.300000001</v>
      </c>
      <c r="AF111" s="38">
        <f>IFERROR(INDEX('Prior YTD Data Pull'!$A$2:$CB$605,MATCH('Prior YTD Data Table'!$C111,'Prior YTD Data Pull'!$A$2:$A$605,0),MATCH("Total Current Liabilities",'Prior YTD Data Pull'!$A$1:$CB$1,0)),"")</f>
        <v>64849818.170000002</v>
      </c>
      <c r="AG111" s="38">
        <f>IFERROR(INDEX('Prior YTD Data Pull'!$A$2:$CB$605,MATCH('Prior YTD Data Table'!$C111,'Prior YTD Data Pull'!$A$2:$A$605,0),MATCH("Total Non Operating Revenue",'Prior YTD Data Pull'!$A$1:$CB$1,0)),"")</f>
        <v>-226962</v>
      </c>
      <c r="AH111" s="38">
        <f>IFERROR(INDEX('Prior YTD Data Pull'!$A$2:$CB$605,MATCH('Prior YTD Data Table'!$C111,'Prior Year Data Pull'!$A$2:$A$593,0),MATCH("Less Accumulated Depreciation",'Prior YTD Data Pull'!$A$1:$CB$1,0)),"")</f>
        <v>73488113</v>
      </c>
      <c r="AI111" s="38">
        <f>IFERROR(INDEX('Prior YTD Data Pull'!$A$2:$CB$605,MATCH('Prior YTD Data Table'!$C111,'Prior YTD Data Pull'!$A$2:$A$605,0),MATCH("Depreciation and Amortization Expense",'Prior YTD Data Pull'!$A$1:$CB$1,0)),"")</f>
        <v>3141151</v>
      </c>
      <c r="AJ111" s="38">
        <f>IFERROR(INDEX('Prior YTD Data Pull'!$A$2:$CB$605,MATCH('Prior YTD Data Table'!$C111,'Prior YTD Data Pull'!$A$2:$A$605,0),MATCH("Net Patient Accounts Receivable",'Prior YTD Data Pull'!$A$1:$CB$1,0)),"")</f>
        <v>18204929.329999998</v>
      </c>
      <c r="AK111" s="14" t="str">
        <f>IF('Prior YTD Data Pull'!$H111 = 6, "183", IF('Prior YTD Data Pull'!$H111 = 3, "93",""))</f>
        <v>183</v>
      </c>
      <c r="AL111" s="38">
        <f>IFERROR(INDEX('Prior YTD Data Pull'!$A$2:$CB$605,MATCH('Prior YTD Data Table'!$C111,'Prior YTD Data Pull'!$A$2:$A$605,0),MATCH("Estimated Third Party Settlements",'Prior YTD Data Pull'!$A$1:$CB$1,0)),"")</f>
        <v>3153596.12</v>
      </c>
      <c r="AM111" s="38">
        <f>IFERROR(INDEX('Prior YTD Data Pull'!$A$2:$CB$605,MATCH('Prior YTD Data Table'!$C111,'Prior YTD Data Pull'!$A$2:$A$605,0),MATCH("Current Liabilities due to Affiliates",'Prior YTD Data Pull'!$A$1:$CB$1,0)),"")</f>
        <v>46252093.75</v>
      </c>
      <c r="AN111" s="38">
        <f>IFERROR(INDEX('Prior YTD Data Pull'!$A$2:$CB$605,MATCH('Prior YTD Data Table'!$C111,'Prior YTD Data Pull'!$A$2:$A$605,0),MATCH("Short Term Investments",'Prior YTD Data Pull'!$A$1:$CB$1,0)),"")</f>
        <v>2968146.24</v>
      </c>
      <c r="AO111" s="38">
        <f>IFERROR(INDEX('Prior YTD Data Pull'!$A$2:$CB$605,MATCH('Prior YTD Data Table'!$C111,'Prior YTD Data Pull'!$A$2:$A$605,0),MATCH("Cash and Cash Equivalents",'Prior YTD Data Pull'!$A$1:$CB$1,0)),"")</f>
        <v>356508.84</v>
      </c>
      <c r="AP111" s="38">
        <f>IFERROR(INDEX('Prior YTD Data Pull'!$A$2:$CB$605,MATCH('Prior YTD Data Table'!$C111,'Prior YTD Data Pull'!$A$2:$A$605,0),MATCH("Interest Expense",'Prior YTD Data Pull'!$A$1:$CB$1,0)),"")</f>
        <v>94915</v>
      </c>
      <c r="AQ111" s="38">
        <f>IFERROR(INDEX('Prior YTD Data Pull'!$A$2:$CB$605,MATCH('Prior YTD Data Table'!$C111,'Prior YTD Data Pull'!$A$2:$A$605,0),MATCH("Long Term Debt Net of Current Portion",'Prior YTD Data Pull'!$A$1:$CB$1,0)),"")</f>
        <v>12001194</v>
      </c>
      <c r="AR111" s="38">
        <f>IFERROR(INDEX('Prior YTD Data Pull'!$A$2:$CB$605,MATCH('Prior YTD Data Table'!$C111,'Prior YTD Data Pull'!$A$2:$A$605,0),MATCH("Total Assets",'Prior YTD Data Pull'!$A$1:$CB$1,0)),"")</f>
        <v>345491286.30000001</v>
      </c>
      <c r="AS111" s="38">
        <f>IFERROR(INDEX('Prior YTD Data Pull'!$A$2:$CB$605,MATCH('Prior YTD Data Table'!$C111,'Prior YTD Data Pull'!$A$2:$A$605,0),MATCH("Long Term Debt Net of Current Portion",'Prior YTD Data Pull'!$A$1:$CB$1,0)),"")</f>
        <v>12001194</v>
      </c>
      <c r="AT111" s="38">
        <f>IFERROR(INDEX('Prior YTD Data Pull'!$A$2:$CB$605,MATCH('Prior YTD Data Table'!$C111,'Prior YTD Data Pull'!$A$2:$A$605,0),MATCH("Net Unrestricted Assets",'Prior YTD Data Pull'!$A$1:$CB$1,0)),"")</f>
        <v>247864308</v>
      </c>
      <c r="AU111" s="38">
        <f>IFERROR(INDEX('Prior YTD Data Pull'!$A$2:$CB$605,MATCH('Prior YTD Data Table'!$C111,'Prior YTD Data Pull'!$A$2:$A$605,0),MATCH("Unrealized Gains/Losses",'Prior YTD Data Pull'!$A$1:$CB$1,0)),"")</f>
        <v>0</v>
      </c>
      <c r="AV111" s="38">
        <f>IFERROR(INDEX('Prior YTD Data Pull'!$A$2:$CB$605,MATCH('Prior YTD Data Table'!$C111,'Prior YTD Data Pull'!$A$2:$A$605,0),MATCH("Salary and Benefit Expense",'Prior YTD Data Pull'!$A$1:$CB$1,0)),"")</f>
        <v>51567123</v>
      </c>
      <c r="AW111" s="38"/>
      <c r="AX111" s="38"/>
      <c r="AY111" s="38"/>
      <c r="AZ111" s="38"/>
    </row>
    <row r="112" spans="1:52" ht="34.200000000000003" x14ac:dyDescent="0.3">
      <c r="A112" s="14" t="str">
        <f>IFERROR(INDEX('Static Data Tab'!$N$2:$N$610,MATCH(D112,'Static Data Tab'!$D$2:$D$610,0)), "")</f>
        <v>UMass Memorial Health Care</v>
      </c>
      <c r="B112" s="57" t="s">
        <v>199</v>
      </c>
      <c r="C112" s="57">
        <v>14496</v>
      </c>
      <c r="D112" s="57">
        <v>6755</v>
      </c>
      <c r="E112" s="14" t="str">
        <f>IFERROR(INDEX('Prior YTD Data Pull'!$A$1:$CB$605,MATCH('Prior YTD Data Table'!$C112,'Prior YTD Data Pull'!$A$1:$A$605,0),MATCH("Organization Type",'Prior YTD Data Pull'!$A$1:$CB$1,0)),"")</f>
        <v>AcuteHospital</v>
      </c>
      <c r="F112" s="14" t="str">
        <f>IFERROR(INDEX('Static Data Tab'!$E$2:$E$610,MATCH('Prior YTD Data Table'!$C112,'Static Data Tab'!$B$2:$B$610,0)), "-")</f>
        <v>Community-High Public Payer Hospital</v>
      </c>
      <c r="G112" s="46" t="str">
        <f>IFERROR(INDEX('Static Data Tab'!$J$2:$J$610,MATCH('Prior YTD Data Table'!$C112,'Static Data Tab'!$B$2:$B$610,0)), "")</f>
        <v>Central Massachusetts</v>
      </c>
      <c r="H112" s="14" t="str">
        <f>IFERROR(INDEX('Static Data Tab'!$F$2:$F$610,MATCH('Prior YTD Data Table'!$C112,'Static Data Tab'!$B$2:$B$610,0)), "")</f>
        <v>x</v>
      </c>
      <c r="I112" s="14">
        <f>IFERROR(INDEX('Static Data Tab'!$G$2:$G$610,MATCH('Prior YTD Data Table'!$C112,'Static Data Tab'!$B$2:$B$610,0)), "")</f>
        <v>0</v>
      </c>
      <c r="J112" s="14" t="str">
        <f>IFERROR(INDEX('Prior YTD Data Pull'!$A$2:$CB$605,MATCH('Prior YTD Data Table'!$C112,'Prior YTD Data Pull'!$A$2:$A$605,0),MATCH("Quarter Range",'Prior YTD Data Pull'!$A$1:$CB$1,0)),"")</f>
        <v xml:space="preserve">10/01/2024-03/31/2025
</v>
      </c>
      <c r="K112" s="37">
        <f t="shared" si="15"/>
        <v>1.0484415058696532E-2</v>
      </c>
      <c r="L112" s="37">
        <f t="shared" si="16"/>
        <v>9.3779516934286867E-4</v>
      </c>
      <c r="M112" s="37">
        <f t="shared" si="17"/>
        <v>1.14222102280394E-2</v>
      </c>
      <c r="N112" s="38">
        <f t="shared" si="18"/>
        <v>1693000</v>
      </c>
      <c r="O112" s="39">
        <f t="shared" si="19"/>
        <v>1.0188290698322466</v>
      </c>
      <c r="P112" s="38">
        <f>IFERROR(INDEX('Prior YTD Data Pull'!$A$2:$CB$605,MATCH('Prior YTD Data Table'!$C112,'Prior YTD Data Pull'!$A$2:$A$605,0),MATCH("Total Net Assets or Equity",'Prior YTD Data Pull'!$A$1:$CB$1,0)),"")</f>
        <v>170059000</v>
      </c>
      <c r="Q112" s="38">
        <f>IFERROR(INDEX('Prior YTD Data Pull'!$A$2:$CB$605,MATCH('Prior YTD Data Table'!$C112,'Prior YTD Data Pull'!$A$2:$A$605,0),MATCH("Total Operating Revenue",'Prior YTD Data Pull'!$A$1:$CB$1,0)),"")</f>
        <v>148081000</v>
      </c>
      <c r="R112" s="38">
        <f>IFERROR(INDEX('Prior YTD Data Pull'!$A$2:$CB$605,MATCH('Prior YTD Data Table'!$C112,'Prior YTD Data Pull'!$A$2:$A$605,0),MATCH("Total Unrestricted Revenue Gains and Other Support",'Prior YTD Data Pull'!$A$1:$CB$1,0)),"")</f>
        <v>148220000</v>
      </c>
      <c r="S112" s="38">
        <f>IFERROR(INDEX('Prior YTD TS Data Pull'!$J$2:$J$128,MATCH('Prior YTD Data Table'!$C112, 'Prior YTD TS Data Pull'!$A$2:$A$128,0))+INDEX('Prior YTD TS Data Pull'!$N$2:$N$128,MATCH('Prior YTD Data Table'!$C112,'Prior YTD TS Data Pull'!$A$2:$A$609,0))+INDEX('Prior YTD TS Data Pull'!$R$2:$R$128,MATCH('Prior YTD Data Table'!$C112,'Prior YTD TS Data Pull'!$A$2:$A$609,0)),"")</f>
        <v>4009564.3500000006</v>
      </c>
      <c r="T112" s="38">
        <f>IF(INDEX('Prior YTD TS Data Pull'!$A$1:$O$609,MATCH('Prior YTD Data Table'!$C112,'Prior YTD TS Data Pull'!$A$1:$A$609,0),MATCH("Temporary RN Staffing:
Line Reported on in Standardized Financials",'Prior YTD TS Data Pull'!$A$1:$O$1,0))="66.1: Salary and Benefit Expense",'Prior YTD Data Table'!$AV112-'Prior YTD Data Table'!$S112,0)</f>
        <v>0</v>
      </c>
      <c r="U112" s="38">
        <f>IFERROR(INDEX('Prior YTD Data Pull'!$A$2:$CB$605,MATCH('Prior YTD Data Table'!$C112,'Prior YTD Data Pull'!$A$2:$A$605,0),MATCH("Total Expenses Including Nonrecurring Gains Losses",'Prior YTD Data Pull'!$A$1:$CB$1,0)),"")</f>
        <v>146527000</v>
      </c>
      <c r="V112" s="41">
        <f t="shared" si="20"/>
        <v>1277.3309228108787</v>
      </c>
      <c r="W112" s="41">
        <f t="shared" si="21"/>
        <v>68.960021461094513</v>
      </c>
      <c r="X112" s="41">
        <f t="shared" si="13"/>
        <v>467.85336672231495</v>
      </c>
      <c r="Y112" s="37">
        <f t="shared" si="22"/>
        <v>2.382720395719742E-2</v>
      </c>
      <c r="Z112" s="41">
        <f t="shared" si="14"/>
        <v>4.0852061127520223</v>
      </c>
      <c r="AA112" s="39">
        <f t="shared" si="23"/>
        <v>6.7984161267098635</v>
      </c>
      <c r="AB112" s="37">
        <f t="shared" si="24"/>
        <v>0.28914812509989152</v>
      </c>
      <c r="AC112" s="37">
        <f t="shared" si="25"/>
        <v>0</v>
      </c>
      <c r="AD112" s="38">
        <f>IFERROR(INDEX('Prior YTD Data Pull'!$A$2:$CB$605,MATCH('Prior YTD Data Table'!$C112,'Prior YTD Data Pull'!$A$2:$A$605,0),MATCH("Net Patient Service Revenue",'Prior YTD Data Pull'!$A$1:$CB$1,0)),"")</f>
        <v>137924000</v>
      </c>
      <c r="AE112" s="38">
        <f>IFERROR(INDEX('Prior YTD Data Pull'!$A$2:$CB$605,MATCH('Prior YTD Data Table'!$C112,'Prior YTD Data Pull'!$A$2:$A$605,0),MATCH("Total Current Assets",'Prior YTD Data Pull'!$A$1:$CB$1,0)),"")</f>
        <v>365617000</v>
      </c>
      <c r="AF112" s="38">
        <f>IFERROR(INDEX('Prior YTD Data Pull'!$A$2:$CB$605,MATCH('Prior YTD Data Table'!$C112,'Prior YTD Data Pull'!$A$2:$A$605,0),MATCH("Total Current Liabilities",'Prior YTD Data Pull'!$A$1:$CB$1,0)),"")</f>
        <v>358860000</v>
      </c>
      <c r="AG112" s="38">
        <f>IFERROR(INDEX('Prior YTD Data Pull'!$A$2:$CB$605,MATCH('Prior YTD Data Table'!$C112,'Prior YTD Data Pull'!$A$2:$A$605,0),MATCH("Total Non Operating Revenue",'Prior YTD Data Pull'!$A$1:$CB$1,0)),"")</f>
        <v>139000</v>
      </c>
      <c r="AH112" s="38">
        <f>IFERROR(INDEX('Prior YTD Data Pull'!$A$2:$CB$605,MATCH('Prior YTD Data Table'!$C112,'Prior Year Data Pull'!$A$2:$A$593,0),MATCH("Less Accumulated Depreciation",'Prior YTD Data Pull'!$A$1:$CB$1,0)),"")</f>
        <v>8125102000</v>
      </c>
      <c r="AI112" s="38">
        <f>IFERROR(INDEX('Prior YTD Data Pull'!$A$2:$CB$605,MATCH('Prior YTD Data Table'!$C112,'Prior YTD Data Pull'!$A$2:$A$605,0),MATCH("Depreciation and Amortization Expense",'Prior YTD Data Pull'!$A$1:$CB$1,0)),"")</f>
        <v>6361000</v>
      </c>
      <c r="AJ112" s="38">
        <f>IFERROR(INDEX('Prior YTD Data Pull'!$A$2:$CB$605,MATCH('Prior YTD Data Table'!$C112,'Prior YTD Data Pull'!$A$2:$A$605,0),MATCH("Net Patient Accounts Receivable",'Prior YTD Data Pull'!$A$1:$CB$1,0)),"")</f>
        <v>51974000</v>
      </c>
      <c r="AK112" s="14" t="str">
        <f>IF('Prior YTD Data Pull'!$H112 = 6, "183", IF('Prior YTD Data Pull'!$H112 = 3, "93",""))</f>
        <v>183</v>
      </c>
      <c r="AL112" s="38">
        <f>IFERROR(INDEX('Prior YTD Data Pull'!$A$2:$CB$605,MATCH('Prior YTD Data Table'!$C112,'Prior YTD Data Pull'!$A$2:$A$605,0),MATCH("Estimated Third Party Settlements",'Prior YTD Data Pull'!$A$1:$CB$1,0)),"")</f>
        <v>515000</v>
      </c>
      <c r="AM112" s="38">
        <f>IFERROR(INDEX('Prior YTD Data Pull'!$A$2:$CB$605,MATCH('Prior YTD Data Table'!$C112,'Prior YTD Data Pull'!$A$2:$A$605,0),MATCH("Current Liabilities due to Affiliates",'Prior YTD Data Pull'!$A$1:$CB$1,0)),"")</f>
        <v>338017000</v>
      </c>
      <c r="AN112" s="38">
        <f>IFERROR(INDEX('Prior YTD Data Pull'!$A$2:$CB$605,MATCH('Prior YTD Data Table'!$C112,'Prior YTD Data Pull'!$A$2:$A$605,0),MATCH("Short Term Investments",'Prior YTD Data Pull'!$A$1:$CB$1,0)),"")</f>
        <v>527000</v>
      </c>
      <c r="AO112" s="38">
        <f>IFERROR(INDEX('Prior YTD Data Pull'!$A$2:$CB$605,MATCH('Prior YTD Data Table'!$C112,'Prior YTD Data Pull'!$A$2:$A$605,0),MATCH("Cash and Cash Equivalents",'Prior YTD Data Pull'!$A$1:$CB$1,0)),"")</f>
        <v>2602000</v>
      </c>
      <c r="AP112" s="38">
        <f>IFERROR(INDEX('Prior YTD Data Pull'!$A$2:$CB$605,MATCH('Prior YTD Data Table'!$C112,'Prior YTD Data Pull'!$A$2:$A$605,0),MATCH("Interest Expense",'Prior YTD Data Pull'!$A$1:$CB$1,0)),"")</f>
        <v>1389000</v>
      </c>
      <c r="AQ112" s="38">
        <f>IFERROR(INDEX('Prior YTD Data Pull'!$A$2:$CB$605,MATCH('Prior YTD Data Table'!$C112,'Prior YTD Data Pull'!$A$2:$A$605,0),MATCH("Long Term Debt Net of Current Portion",'Prior YTD Data Pull'!$A$1:$CB$1,0)),"")</f>
        <v>0</v>
      </c>
      <c r="AR112" s="38">
        <f>IFERROR(INDEX('Prior YTD Data Pull'!$A$2:$CB$605,MATCH('Prior YTD Data Table'!$C112,'Prior YTD Data Pull'!$A$2:$A$605,0),MATCH("Total Assets",'Prior YTD Data Pull'!$A$1:$CB$1,0)),"")</f>
        <v>588138000</v>
      </c>
      <c r="AS112" s="38">
        <f>IFERROR(INDEX('Prior YTD Data Pull'!$A$2:$CB$605,MATCH('Prior YTD Data Table'!$C112,'Prior YTD Data Pull'!$A$2:$A$605,0),MATCH("Long Term Debt Net of Current Portion",'Prior YTD Data Pull'!$A$1:$CB$1,0)),"")</f>
        <v>0</v>
      </c>
      <c r="AT112" s="38">
        <f>IFERROR(INDEX('Prior YTD Data Pull'!$A$2:$CB$605,MATCH('Prior YTD Data Table'!$C112,'Prior YTD Data Pull'!$A$2:$A$605,0),MATCH("Net Unrestricted Assets",'Prior YTD Data Pull'!$A$1:$CB$1,0)),"")</f>
        <v>136636000</v>
      </c>
      <c r="AU112" s="38">
        <f>IFERROR(INDEX('Prior YTD Data Pull'!$A$2:$CB$605,MATCH('Prior YTD Data Table'!$C112,'Prior YTD Data Pull'!$A$2:$A$605,0),MATCH("Unrealized Gains/Losses",'Prior YTD Data Pull'!$A$1:$CB$1,0)),"")</f>
        <v>0</v>
      </c>
      <c r="AV112" s="38">
        <f>IFERROR(INDEX('Prior YTD Data Pull'!$A$2:$CB$605,MATCH('Prior YTD Data Table'!$C112,'Prior YTD Data Pull'!$A$2:$A$605,0),MATCH("Salary and Benefit Expense",'Prior YTD Data Pull'!$A$1:$CB$1,0)),"")</f>
        <v>52112000</v>
      </c>
      <c r="AW112" s="47"/>
      <c r="AX112" s="47"/>
      <c r="AY112" s="47"/>
      <c r="AZ112" s="47"/>
    </row>
    <row r="113" spans="1:52" ht="34.200000000000003" x14ac:dyDescent="0.3">
      <c r="A113" s="14" t="str">
        <f>IFERROR(INDEX('Static Data Tab'!$N$2:$N$610,MATCH(D113,'Static Data Tab'!$D$2:$D$610,0)), "")</f>
        <v>UMass Memorial Health Care</v>
      </c>
      <c r="B113" s="57" t="s">
        <v>198</v>
      </c>
      <c r="C113" s="57">
        <v>68</v>
      </c>
      <c r="D113" s="57">
        <v>6755</v>
      </c>
      <c r="E113" s="14" t="str">
        <f>IFERROR(INDEX('Prior YTD Data Pull'!$A$1:$CB$605,MATCH('Prior YTD Data Table'!$C113,'Prior YTD Data Pull'!$A$1:$A$605,0),MATCH("Organization Type",'Prior YTD Data Pull'!$A$1:$CB$1,0)),"")</f>
        <v>AcuteHospital</v>
      </c>
      <c r="F113" s="14" t="str">
        <f>IFERROR(INDEX('Static Data Tab'!$E$2:$E$610,MATCH('Prior YTD Data Table'!$C113,'Static Data Tab'!$B$2:$B$610,0)), "-")</f>
        <v>Community-High Public Payer Hospital</v>
      </c>
      <c r="G113" s="46" t="str">
        <f>IFERROR(INDEX('Static Data Tab'!$J$2:$J$610,MATCH('Prior YTD Data Table'!$C113,'Static Data Tab'!$B$2:$B$610,0)), "")</f>
        <v>Central Massachusetts</v>
      </c>
      <c r="H113" s="14" t="str">
        <f>IFERROR(INDEX('Static Data Tab'!$F$2:$F$610,MATCH('Prior YTD Data Table'!$C113,'Static Data Tab'!$B$2:$B$610,0)), "")</f>
        <v>x</v>
      </c>
      <c r="I113" s="14">
        <f>IFERROR(INDEX('Static Data Tab'!$G$2:$G$610,MATCH('Prior YTD Data Table'!$C113,'Static Data Tab'!$B$2:$B$610,0)), "")</f>
        <v>0</v>
      </c>
      <c r="J113" s="14" t="str">
        <f>IFERROR(INDEX('Prior YTD Data Pull'!$A$2:$CB$605,MATCH('Prior YTD Data Table'!$C113,'Prior YTD Data Pull'!$A$2:$A$605,0),MATCH("Quarter Range",'Prior YTD Data Pull'!$A$1:$CB$1,0)),"")</f>
        <v xml:space="preserve">10/01/2024-03/31/2025
</v>
      </c>
      <c r="K113" s="37">
        <f t="shared" si="15"/>
        <v>-4.0140329527195977E-2</v>
      </c>
      <c r="L113" s="37">
        <f t="shared" si="16"/>
        <v>3.4027058118861774E-2</v>
      </c>
      <c r="M113" s="37">
        <f t="shared" si="17"/>
        <v>-6.113271408334205E-3</v>
      </c>
      <c r="N113" s="38">
        <f t="shared" si="18"/>
        <v>-643000</v>
      </c>
      <c r="O113" s="39">
        <f t="shared" si="19"/>
        <v>0.90119523201086871</v>
      </c>
      <c r="P113" s="38">
        <f>IFERROR(INDEX('Prior YTD Data Pull'!$A$2:$CB$605,MATCH('Prior YTD Data Table'!$C113,'Prior YTD Data Pull'!$A$2:$A$605,0),MATCH("Total Net Assets or Equity",'Prior YTD Data Pull'!$A$1:$CB$1,0)),"")</f>
        <v>74165000</v>
      </c>
      <c r="Q113" s="38">
        <f>IFERROR(INDEX('Prior YTD Data Pull'!$A$2:$CB$605,MATCH('Prior YTD Data Table'!$C113,'Prior YTD Data Pull'!$A$2:$A$605,0),MATCH("Total Operating Revenue",'Prior YTD Data Pull'!$A$1:$CB$1,0)),"")</f>
        <v>101602000</v>
      </c>
      <c r="R113" s="38">
        <f>IFERROR(INDEX('Prior YTD Data Pull'!$A$2:$CB$605,MATCH('Prior YTD Data Table'!$C113,'Prior YTD Data Pull'!$A$2:$A$605,0),MATCH("Total Unrestricted Revenue Gains and Other Support",'Prior YTD Data Pull'!$A$1:$CB$1,0)),"")</f>
        <v>105181000</v>
      </c>
      <c r="S113" s="38">
        <f>IFERROR(INDEX('Prior YTD TS Data Pull'!$J$2:$J$128,MATCH('Prior YTD Data Table'!$C113, 'Prior YTD TS Data Pull'!$A$2:$A$128,0))+INDEX('Prior YTD TS Data Pull'!$N$2:$N$128,MATCH('Prior YTD Data Table'!$C113,'Prior YTD TS Data Pull'!$A$2:$A$609,0))+INDEX('Prior YTD TS Data Pull'!$R$2:$R$128,MATCH('Prior YTD Data Table'!$C113,'Prior YTD TS Data Pull'!$A$2:$A$609,0)),"")</f>
        <v>1275135.07</v>
      </c>
      <c r="T113" s="38">
        <f>IF(INDEX('Prior YTD TS Data Pull'!$A$1:$O$609,MATCH('Prior YTD Data Table'!$C113,'Prior YTD TS Data Pull'!$A$1:$A$609,0),MATCH("Temporary RN Staffing:
Line Reported on in Standardized Financials",'Prior YTD TS Data Pull'!$A$1:$O$1,0))="66.1: Salary and Benefit Expense",'Prior YTD Data Table'!$AV113-'Prior YTD Data Table'!$S113,0)</f>
        <v>0</v>
      </c>
      <c r="U113" s="38">
        <f>IFERROR(INDEX('Prior YTD Data Pull'!$A$2:$CB$605,MATCH('Prior YTD Data Table'!$C113,'Prior YTD Data Pull'!$A$2:$A$605,0),MATCH("Total Expenses Including Nonrecurring Gains Losses",'Prior YTD Data Pull'!$A$1:$CB$1,0)),"")</f>
        <v>105824000</v>
      </c>
      <c r="V113" s="41">
        <f t="shared" si="20"/>
        <v>98.164884135472377</v>
      </c>
      <c r="W113" s="41">
        <f t="shared" si="21"/>
        <v>58.436701788828437</v>
      </c>
      <c r="X113" s="41">
        <f t="shared" si="13"/>
        <v>327.13629975209358</v>
      </c>
      <c r="Y113" s="37">
        <f t="shared" si="22"/>
        <v>1.6345911421127825E-2</v>
      </c>
      <c r="Z113" s="41">
        <f t="shared" si="14"/>
        <v>2.0450818872123215</v>
      </c>
      <c r="AA113" s="39">
        <f t="shared" si="23"/>
        <v>3.0802139037433154</v>
      </c>
      <c r="AB113" s="37">
        <f t="shared" si="24"/>
        <v>0.25609107609010923</v>
      </c>
      <c r="AC113" s="37">
        <f t="shared" si="25"/>
        <v>0</v>
      </c>
      <c r="AD113" s="38">
        <f>IFERROR(INDEX('Prior YTD Data Pull'!$A$2:$CB$605,MATCH('Prior YTD Data Table'!$C113,'Prior YTD Data Pull'!$A$2:$A$605,0),MATCH("Net Patient Service Revenue",'Prior YTD Data Pull'!$A$1:$CB$1,0)),"")</f>
        <v>95761000</v>
      </c>
      <c r="AE113" s="38">
        <f>IFERROR(INDEX('Prior YTD Data Pull'!$A$2:$CB$605,MATCH('Prior YTD Data Table'!$C113,'Prior YTD Data Pull'!$A$2:$A$605,0),MATCH("Total Current Assets",'Prior YTD Data Pull'!$A$1:$CB$1,0)),"")</f>
        <v>167160000</v>
      </c>
      <c r="AF113" s="38">
        <f>IFERROR(INDEX('Prior YTD Data Pull'!$A$2:$CB$605,MATCH('Prior YTD Data Table'!$C113,'Prior YTD Data Pull'!$A$2:$A$605,0),MATCH("Total Current Liabilities",'Prior YTD Data Pull'!$A$1:$CB$1,0)),"")</f>
        <v>185487000</v>
      </c>
      <c r="AG113" s="38">
        <f>IFERROR(INDEX('Prior YTD Data Pull'!$A$2:$CB$605,MATCH('Prior YTD Data Table'!$C113,'Prior YTD Data Pull'!$A$2:$A$605,0),MATCH("Total Non Operating Revenue",'Prior YTD Data Pull'!$A$1:$CB$1,0)),"")</f>
        <v>3579000</v>
      </c>
      <c r="AH113" s="38">
        <f>IFERROR(INDEX('Prior YTD Data Pull'!$A$2:$CB$605,MATCH('Prior YTD Data Table'!$C113,'Prior Year Data Pull'!$A$2:$A$593,0),MATCH("Less Accumulated Depreciation",'Prior YTD Data Pull'!$A$1:$CB$1,0)),"")</f>
        <v>330423000</v>
      </c>
      <c r="AI113" s="38">
        <f>IFERROR(INDEX('Prior YTD Data Pull'!$A$2:$CB$605,MATCH('Prior YTD Data Table'!$C113,'Prior YTD Data Pull'!$A$2:$A$605,0),MATCH("Depreciation and Amortization Expense",'Prior YTD Data Pull'!$A$1:$CB$1,0)),"")</f>
        <v>3366000</v>
      </c>
      <c r="AJ113" s="38">
        <f>IFERROR(INDEX('Prior YTD Data Pull'!$A$2:$CB$605,MATCH('Prior YTD Data Table'!$C113,'Prior YTD Data Pull'!$A$2:$A$605,0),MATCH("Net Patient Accounts Receivable",'Prior YTD Data Pull'!$A$1:$CB$1,0)),"")</f>
        <v>30579000</v>
      </c>
      <c r="AK113" s="14" t="str">
        <f>IF('Prior YTD Data Pull'!$H113 = 6, "183", IF('Prior YTD Data Pull'!$H113 = 3, "93",""))</f>
        <v>183</v>
      </c>
      <c r="AL113" s="38">
        <f>IFERROR(INDEX('Prior YTD Data Pull'!$A$2:$CB$605,MATCH('Prior YTD Data Table'!$C113,'Prior YTD Data Pull'!$A$2:$A$605,0),MATCH("Estimated Third Party Settlements",'Prior YTD Data Pull'!$A$1:$CB$1,0)),"")</f>
        <v>2330000</v>
      </c>
      <c r="AM113" s="38">
        <f>IFERROR(INDEX('Prior YTD Data Pull'!$A$2:$CB$605,MATCH('Prior YTD Data Table'!$C113,'Prior YTD Data Pull'!$A$2:$A$605,0),MATCH("Current Liabilities due to Affiliates",'Prior YTD Data Pull'!$A$1:$CB$1,0)),"")</f>
        <v>166586000</v>
      </c>
      <c r="AN113" s="38">
        <f>IFERROR(INDEX('Prior YTD Data Pull'!$A$2:$CB$605,MATCH('Prior YTD Data Table'!$C113,'Prior YTD Data Pull'!$A$2:$A$605,0),MATCH("Short Term Investments",'Prior YTD Data Pull'!$A$1:$CB$1,0)),"")</f>
        <v>0</v>
      </c>
      <c r="AO113" s="38">
        <f>IFERROR(INDEX('Prior YTD Data Pull'!$A$2:$CB$605,MATCH('Prior YTD Data Table'!$C113,'Prior YTD Data Pull'!$A$2:$A$605,0),MATCH("Cash and Cash Equivalents",'Prior YTD Data Pull'!$A$1:$CB$1,0)),"")</f>
        <v>1145000</v>
      </c>
      <c r="AP113" s="38">
        <f>IFERROR(INDEX('Prior YTD Data Pull'!$A$2:$CB$605,MATCH('Prior YTD Data Table'!$C113,'Prior YTD Data Pull'!$A$2:$A$605,0),MATCH("Interest Expense",'Prior YTD Data Pull'!$A$1:$CB$1,0)),"")</f>
        <v>1309000</v>
      </c>
      <c r="AQ113" s="38">
        <f>IFERROR(INDEX('Prior YTD Data Pull'!$A$2:$CB$605,MATCH('Prior YTD Data Table'!$C113,'Prior YTD Data Pull'!$A$2:$A$605,0),MATCH("Long Term Debt Net of Current Portion",'Prior YTD Data Pull'!$A$1:$CB$1,0)),"")</f>
        <v>0</v>
      </c>
      <c r="AR113" s="38">
        <f>IFERROR(INDEX('Prior YTD Data Pull'!$A$2:$CB$605,MATCH('Prior YTD Data Table'!$C113,'Prior YTD Data Pull'!$A$2:$A$605,0),MATCH("Total Assets",'Prior YTD Data Pull'!$A$1:$CB$1,0)),"")</f>
        <v>289604000</v>
      </c>
      <c r="AS113" s="38">
        <f>IFERROR(INDEX('Prior YTD Data Pull'!$A$2:$CB$605,MATCH('Prior YTD Data Table'!$C113,'Prior YTD Data Pull'!$A$2:$A$605,0),MATCH("Long Term Debt Net of Current Portion",'Prior YTD Data Pull'!$A$1:$CB$1,0)),"")</f>
        <v>0</v>
      </c>
      <c r="AT113" s="38">
        <f>IFERROR(INDEX('Prior YTD Data Pull'!$A$2:$CB$605,MATCH('Prior YTD Data Table'!$C113,'Prior YTD Data Pull'!$A$2:$A$605,0),MATCH("Net Unrestricted Assets",'Prior YTD Data Pull'!$A$1:$CB$1,0)),"")</f>
        <v>65922000</v>
      </c>
      <c r="AU113" s="38">
        <f>IFERROR(INDEX('Prior YTD Data Pull'!$A$2:$CB$605,MATCH('Prior YTD Data Table'!$C113,'Prior YTD Data Pull'!$A$2:$A$605,0),MATCH("Unrealized Gains/Losses",'Prior YTD Data Pull'!$A$1:$CB$1,0)),"")</f>
        <v>0</v>
      </c>
      <c r="AV113" s="38">
        <f>IFERROR(INDEX('Prior YTD Data Pull'!$A$2:$CB$605,MATCH('Prior YTD Data Table'!$C113,'Prior YTD Data Pull'!$A$2:$A$605,0),MATCH("Salary and Benefit Expense",'Prior YTD Data Pull'!$A$1:$CB$1,0)),"")</f>
        <v>50901000</v>
      </c>
      <c r="AW113" s="38"/>
      <c r="AX113" s="38"/>
      <c r="AY113" s="38"/>
      <c r="AZ113" s="38"/>
    </row>
    <row r="114" spans="1:52" ht="34.200000000000003" x14ac:dyDescent="0.3">
      <c r="A114" s="14" t="str">
        <f>IFERROR(INDEX('Static Data Tab'!$N$2:$N$610,MATCH(D114,'Static Data Tab'!$D$2:$D$610,0)), "")</f>
        <v>UMass Memorial Health Care</v>
      </c>
      <c r="B114" s="57" t="s">
        <v>159</v>
      </c>
      <c r="C114" s="57">
        <v>97</v>
      </c>
      <c r="D114" s="57">
        <v>6755</v>
      </c>
      <c r="E114" s="14" t="str">
        <f>IFERROR(INDEX('Prior YTD Data Pull'!$A$1:$CB$605,MATCH('Prior YTD Data Table'!$C114,'Prior YTD Data Pull'!$A$1:$A$605,0),MATCH("Organization Type",'Prior YTD Data Pull'!$A$1:$CB$1,0)),"")</f>
        <v>AcuteHospital</v>
      </c>
      <c r="F114" s="14" t="str">
        <f>IFERROR(INDEX('Static Data Tab'!$E$2:$E$610,MATCH('Prior YTD Data Table'!$C114,'Static Data Tab'!$B$2:$B$610,0)), "-")</f>
        <v>Community Hospital</v>
      </c>
      <c r="G114" s="46" t="str">
        <f>IFERROR(INDEX('Static Data Tab'!$J$2:$J$610,MATCH('Prior YTD Data Table'!$C114,'Static Data Tab'!$B$2:$B$610,0)), "")</f>
        <v>Metro West</v>
      </c>
      <c r="H114" s="14">
        <f>IFERROR(INDEX('Static Data Tab'!$F$2:$F$610,MATCH('Prior YTD Data Table'!$C114,'Static Data Tab'!$B$2:$B$610,0)), "")</f>
        <v>0</v>
      </c>
      <c r="I114" s="14">
        <f>IFERROR(INDEX('Static Data Tab'!$G$2:$G$610,MATCH('Prior YTD Data Table'!$C114,'Static Data Tab'!$B$2:$B$610,0)), "")</f>
        <v>0</v>
      </c>
      <c r="J114" s="14" t="str">
        <f>IFERROR(INDEX('Prior YTD Data Pull'!$A$2:$CB$605,MATCH('Prior YTD Data Table'!$C114,'Prior YTD Data Pull'!$A$2:$A$605,0),MATCH("Quarter Range",'Prior YTD Data Pull'!$A$1:$CB$1,0)),"")</f>
        <v xml:space="preserve">10/01/2024-03/31/2025
</v>
      </c>
      <c r="K114" s="37">
        <f t="shared" si="15"/>
        <v>-1.3077095701491319E-2</v>
      </c>
      <c r="L114" s="37">
        <f t="shared" si="16"/>
        <v>1.3933941285676398E-2</v>
      </c>
      <c r="M114" s="37">
        <f t="shared" si="17"/>
        <v>8.5684558418507863E-4</v>
      </c>
      <c r="N114" s="38">
        <f t="shared" si="18"/>
        <v>126000</v>
      </c>
      <c r="O114" s="39">
        <f t="shared" si="19"/>
        <v>1.2388117757851205</v>
      </c>
      <c r="P114" s="38">
        <f>IFERROR(INDEX('Prior YTD Data Pull'!$A$2:$CB$605,MATCH('Prior YTD Data Table'!$C114,'Prior YTD Data Pull'!$A$2:$A$605,0),MATCH("Total Net Assets or Equity",'Prior YTD Data Pull'!$A$1:$CB$1,0)),"")</f>
        <v>71230000</v>
      </c>
      <c r="Q114" s="38">
        <f>IFERROR(INDEX('Prior YTD Data Pull'!$A$2:$CB$605,MATCH('Prior YTD Data Table'!$C114,'Prior YTD Data Pull'!$A$2:$A$605,0),MATCH("Total Operating Revenue",'Prior YTD Data Pull'!$A$1:$CB$1,0)),"")</f>
        <v>145002000</v>
      </c>
      <c r="R114" s="38">
        <f>IFERROR(INDEX('Prior YTD Data Pull'!$A$2:$CB$605,MATCH('Prior YTD Data Table'!$C114,'Prior YTD Data Pull'!$A$2:$A$605,0),MATCH("Total Unrestricted Revenue Gains and Other Support",'Prior YTD Data Pull'!$A$1:$CB$1,0)),"")</f>
        <v>147051000</v>
      </c>
      <c r="S114" s="38">
        <f>IFERROR(INDEX('Prior YTD TS Data Pull'!$J$2:$J$128,MATCH('Prior YTD Data Table'!$C114, 'Prior YTD TS Data Pull'!$A$2:$A$128,0))+INDEX('Prior YTD TS Data Pull'!$N$2:$N$128,MATCH('Prior YTD Data Table'!$C114,'Prior YTD TS Data Pull'!$A$2:$A$609,0))+INDEX('Prior YTD TS Data Pull'!$R$2:$R$128,MATCH('Prior YTD Data Table'!$C114,'Prior YTD TS Data Pull'!$A$2:$A$609,0)),"")</f>
        <v>1017283</v>
      </c>
      <c r="T114" s="38">
        <f>IF(INDEX('Prior YTD TS Data Pull'!$A$1:$O$609,MATCH('Prior YTD Data Table'!$C114,'Prior YTD TS Data Pull'!$A$1:$A$609,0),MATCH("Temporary RN Staffing:
Line Reported on in Standardized Financials",'Prior YTD TS Data Pull'!$A$1:$O$1,0))="66.1: Salary and Benefit Expense",'Prior YTD Data Table'!$AV114-'Prior YTD Data Table'!$S114,0)</f>
        <v>0</v>
      </c>
      <c r="U114" s="38">
        <f>IFERROR(INDEX('Prior YTD Data Pull'!$A$2:$CB$605,MATCH('Prior YTD Data Table'!$C114,'Prior YTD Data Pull'!$A$2:$A$605,0),MATCH("Total Expenses Including Nonrecurring Gains Losses",'Prior YTD Data Pull'!$A$1:$CB$1,0)),"")</f>
        <v>146925000</v>
      </c>
      <c r="V114" s="41">
        <f t="shared" si="20"/>
        <v>0</v>
      </c>
      <c r="W114" s="41">
        <f t="shared" si="21"/>
        <v>40.266165104889168</v>
      </c>
      <c r="X114" s="41">
        <f t="shared" si="13"/>
        <v>54.801722486680525</v>
      </c>
      <c r="Y114" s="37">
        <f t="shared" si="22"/>
        <v>7.4118233912863624E-2</v>
      </c>
      <c r="Z114" s="41">
        <f t="shared" si="14"/>
        <v>28.330408132861329</v>
      </c>
      <c r="AA114" s="39">
        <f t="shared" si="23"/>
        <v>9.8905913278234309E-2</v>
      </c>
      <c r="AB114" s="37">
        <f t="shared" si="24"/>
        <v>0.32682257613089422</v>
      </c>
      <c r="AC114" s="37">
        <f t="shared" si="25"/>
        <v>0.55631662662019021</v>
      </c>
      <c r="AD114" s="38">
        <f>IFERROR(INDEX('Prior YTD Data Pull'!$A$2:$CB$605,MATCH('Prior YTD Data Table'!$C114,'Prior YTD Data Pull'!$A$2:$A$605,0),MATCH("Net Patient Service Revenue",'Prior YTD Data Pull'!$A$1:$CB$1,0)),"")</f>
        <v>141292000</v>
      </c>
      <c r="AE114" s="38">
        <f>IFERROR(INDEX('Prior YTD Data Pull'!$A$2:$CB$605,MATCH('Prior YTD Data Table'!$C114,'Prior YTD Data Pull'!$A$2:$A$605,0),MATCH("Total Current Assets",'Prior YTD Data Pull'!$A$1:$CB$1,0)),"")</f>
        <v>60511000</v>
      </c>
      <c r="AF114" s="38">
        <f>IFERROR(INDEX('Prior YTD Data Pull'!$A$2:$CB$605,MATCH('Prior YTD Data Table'!$C114,'Prior YTD Data Pull'!$A$2:$A$605,0),MATCH("Total Current Liabilities",'Prior YTD Data Pull'!$A$1:$CB$1,0)),"")</f>
        <v>48846000</v>
      </c>
      <c r="AG114" s="38">
        <f>IFERROR(INDEX('Prior YTD Data Pull'!$A$2:$CB$605,MATCH('Prior YTD Data Table'!$C114,'Prior YTD Data Pull'!$A$2:$A$605,0),MATCH("Total Non Operating Revenue",'Prior YTD Data Pull'!$A$1:$CB$1,0)),"")</f>
        <v>2049000</v>
      </c>
      <c r="AH114" s="38">
        <f>IFERROR(INDEX('Prior YTD Data Pull'!$A$2:$CB$605,MATCH('Prior YTD Data Table'!$C114,'Prior Year Data Pull'!$A$2:$A$593,0),MATCH("Less Accumulated Depreciation",'Prior YTD Data Pull'!$A$1:$CB$1,0)),"")</f>
        <v>0</v>
      </c>
      <c r="AI114" s="38">
        <f>IFERROR(INDEX('Prior YTD Data Pull'!$A$2:$CB$605,MATCH('Prior YTD Data Table'!$C114,'Prior YTD Data Pull'!$A$2:$A$605,0),MATCH("Depreciation and Amortization Expense",'Prior YTD Data Pull'!$A$1:$CB$1,0)),"")</f>
        <v>5966000</v>
      </c>
      <c r="AJ114" s="38">
        <f>IFERROR(INDEX('Prior YTD Data Pull'!$A$2:$CB$605,MATCH('Prior YTD Data Table'!$C114,'Prior YTD Data Pull'!$A$2:$A$605,0),MATCH("Net Patient Accounts Receivable",'Prior YTD Data Pull'!$A$1:$CB$1,0)),"")</f>
        <v>31089000</v>
      </c>
      <c r="AK114" s="14" t="str">
        <f>IF('Prior YTD Data Pull'!$H114 = 6, "183", IF('Prior YTD Data Pull'!$H114 = 3, "93",""))</f>
        <v>183</v>
      </c>
      <c r="AL114" s="38">
        <f>IFERROR(INDEX('Prior YTD Data Pull'!$A$2:$CB$605,MATCH('Prior YTD Data Table'!$C114,'Prior YTD Data Pull'!$A$2:$A$605,0),MATCH("Estimated Third Party Settlements",'Prior YTD Data Pull'!$A$1:$CB$1,0)),"")</f>
        <v>6634000</v>
      </c>
      <c r="AM114" s="38">
        <f>IFERROR(INDEX('Prior YTD Data Pull'!$A$2:$CB$605,MATCH('Prior YTD Data Table'!$C114,'Prior YTD Data Pull'!$A$2:$A$605,0),MATCH("Current Liabilities due to Affiliates",'Prior YTD Data Pull'!$A$1:$CB$1,0)),"")</f>
        <v>0</v>
      </c>
      <c r="AN114" s="38">
        <f>IFERROR(INDEX('Prior YTD Data Pull'!$A$2:$CB$605,MATCH('Prior YTD Data Table'!$C114,'Prior YTD Data Pull'!$A$2:$A$605,0),MATCH("Short Term Investments",'Prior YTD Data Pull'!$A$1:$CB$1,0)),"")</f>
        <v>14779000</v>
      </c>
      <c r="AO114" s="38">
        <f>IFERROR(INDEX('Prior YTD Data Pull'!$A$2:$CB$605,MATCH('Prior YTD Data Table'!$C114,'Prior YTD Data Pull'!$A$2:$A$605,0),MATCH("Cash and Cash Equivalents",'Prior YTD Data Pull'!$A$1:$CB$1,0)),"")</f>
        <v>7043000</v>
      </c>
      <c r="AP114" s="38">
        <f>IFERROR(INDEX('Prior YTD Data Pull'!$A$2:$CB$605,MATCH('Prior YTD Data Table'!$C114,'Prior YTD Data Pull'!$A$2:$A$605,0),MATCH("Interest Expense",'Prior YTD Data Pull'!$A$1:$CB$1,0)),"")</f>
        <v>2261000</v>
      </c>
      <c r="AQ114" s="38">
        <f>IFERROR(INDEX('Prior YTD Data Pull'!$A$2:$CB$605,MATCH('Prior YTD Data Table'!$C114,'Prior YTD Data Pull'!$A$2:$A$605,0),MATCH("Long Term Debt Net of Current Portion",'Prior YTD Data Pull'!$A$1:$CB$1,0)),"")</f>
        <v>82193000</v>
      </c>
      <c r="AR114" s="38">
        <f>IFERROR(INDEX('Prior YTD Data Pull'!$A$2:$CB$605,MATCH('Prior YTD Data Table'!$C114,'Prior YTD Data Pull'!$A$2:$A$605,0),MATCH("Total Assets",'Prior YTD Data Pull'!$A$1:$CB$1,0)),"")</f>
        <v>217947000</v>
      </c>
      <c r="AS114" s="38">
        <f>IFERROR(INDEX('Prior YTD Data Pull'!$A$2:$CB$605,MATCH('Prior YTD Data Table'!$C114,'Prior YTD Data Pull'!$A$2:$A$605,0),MATCH("Long Term Debt Net of Current Portion",'Prior YTD Data Pull'!$A$1:$CB$1,0)),"")</f>
        <v>82193000</v>
      </c>
      <c r="AT114" s="38">
        <f>IFERROR(INDEX('Prior YTD Data Pull'!$A$2:$CB$605,MATCH('Prior YTD Data Table'!$C114,'Prior YTD Data Pull'!$A$2:$A$605,0),MATCH("Net Unrestricted Assets",'Prior YTD Data Pull'!$A$1:$CB$1,0)),"")</f>
        <v>65552000</v>
      </c>
      <c r="AU114" s="38">
        <f>IFERROR(INDEX('Prior YTD Data Pull'!$A$2:$CB$605,MATCH('Prior YTD Data Table'!$C114,'Prior YTD Data Pull'!$A$2:$A$605,0),MATCH("Unrealized Gains/Losses",'Prior YTD Data Pull'!$A$1:$CB$1,0)),"")</f>
        <v>0</v>
      </c>
      <c r="AV114" s="38">
        <f>IFERROR(INDEX('Prior YTD Data Pull'!$A$2:$CB$605,MATCH('Prior YTD Data Table'!$C114,'Prior YTD Data Pull'!$A$2:$A$605,0),MATCH("Salary and Benefit Expense",'Prior YTD Data Pull'!$A$1:$CB$1,0)),"")</f>
        <v>81172000</v>
      </c>
      <c r="AW114" s="47"/>
      <c r="AX114" s="47"/>
      <c r="AY114" s="47"/>
      <c r="AZ114" s="47"/>
    </row>
    <row r="115" spans="1:52" ht="34.200000000000003" x14ac:dyDescent="0.3">
      <c r="A115" s="14" t="str">
        <f>IFERROR(INDEX('Static Data Tab'!$N$2:$N$610,MATCH(D115,'Static Data Tab'!$D$2:$D$610,0)), "")</f>
        <v>UMass Memorial Health Care</v>
      </c>
      <c r="B115" s="57" t="s">
        <v>197</v>
      </c>
      <c r="C115" s="57">
        <v>6755</v>
      </c>
      <c r="D115" s="57">
        <v>6755</v>
      </c>
      <c r="E115" s="14" t="str">
        <f>IFERROR(INDEX('Prior YTD Data Pull'!$A$1:$CB$605,MATCH('Prior YTD Data Table'!$C115,'Prior YTD Data Pull'!$A$1:$A$605,0),MATCH("Organization Type",'Prior YTD Data Pull'!$A$1:$CB$1,0)),"")</f>
        <v>HHS</v>
      </c>
      <c r="F115" s="14" t="str">
        <f>IFERROR(INDEX('Static Data Tab'!$E$2:$E$610,MATCH('Prior YTD Data Table'!$C115,'Static Data Tab'!$B$2:$B$610,0)), "-")</f>
        <v>-</v>
      </c>
      <c r="G115" s="46" t="str">
        <f>IFERROR(INDEX('Static Data Tab'!$J$2:$J$610,MATCH('Prior YTD Data Table'!$C115,'Static Data Tab'!$B$2:$B$610,0)), "")</f>
        <v/>
      </c>
      <c r="H115" s="14" t="str">
        <f>IFERROR(INDEX('Static Data Tab'!$F$2:$F$610,MATCH('Prior YTD Data Table'!$C115,'Static Data Tab'!$B$2:$B$610,0)), "")</f>
        <v/>
      </c>
      <c r="I115" s="14" t="str">
        <f>IFERROR(INDEX('Static Data Tab'!$G$2:$G$610,MATCH('Prior YTD Data Table'!$C115,'Static Data Tab'!$B$2:$B$610,0)), "")</f>
        <v/>
      </c>
      <c r="J115" s="14" t="str">
        <f>IFERROR(INDEX('Prior YTD Data Pull'!$A$2:$CB$605,MATCH('Prior YTD Data Table'!$C115,'Prior YTD Data Pull'!$A$2:$A$605,0),MATCH("Quarter Range",'Prior YTD Data Pull'!$A$1:$CB$1,0)),"")</f>
        <v xml:space="preserve">10/01/2024-03/31/2025
</v>
      </c>
      <c r="K115" s="37">
        <f t="shared" si="15"/>
        <v>-3.1129562463236591E-2</v>
      </c>
      <c r="L115" s="37">
        <f t="shared" si="16"/>
        <v>2.1149779044562826E-2</v>
      </c>
      <c r="M115" s="37">
        <f t="shared" si="17"/>
        <v>-9.9797834186737648E-3</v>
      </c>
      <c r="N115" s="38">
        <f t="shared" si="18"/>
        <v>-24618000</v>
      </c>
      <c r="O115" s="39">
        <f t="shared" si="19"/>
        <v>1.6979750540311913</v>
      </c>
      <c r="P115" s="38">
        <f>IFERROR(INDEX('Prior YTD Data Pull'!$A$2:$CB$605,MATCH('Prior YTD Data Table'!$C115,'Prior YTD Data Pull'!$A$2:$A$605,0),MATCH("Total Net Assets or Equity",'Prior YTD Data Pull'!$A$1:$CB$1,0)),"")</f>
        <v>1724865000</v>
      </c>
      <c r="Q115" s="38">
        <f>IFERROR(INDEX('Prior YTD Data Pull'!$A$2:$CB$605,MATCH('Prior YTD Data Table'!$C115,'Prior YTD Data Pull'!$A$2:$A$605,0),MATCH("Total Operating Revenue",'Prior YTD Data Pull'!$A$1:$CB$1,0)),"")</f>
        <v>2414615000</v>
      </c>
      <c r="R115" s="38">
        <f>IFERROR(INDEX('Prior YTD Data Pull'!$A$2:$CB$605,MATCH('Prior YTD Data Table'!$C115,'Prior YTD Data Pull'!$A$2:$A$605,0),MATCH("Total Unrestricted Revenue Gains and Other Support",'Prior YTD Data Pull'!$A$1:$CB$1,0)),"")</f>
        <v>2466787000</v>
      </c>
      <c r="S115" s="38">
        <f>IFERROR(INDEX('Prior YTD TS Data Pull'!$J$2:$J$128,MATCH('Prior YTD Data Table'!$C115, 'Prior YTD TS Data Pull'!$A$2:$A$128,0))+INDEX('Prior YTD TS Data Pull'!$N$2:$N$128,MATCH('Prior YTD Data Table'!$C115,'Prior YTD TS Data Pull'!$A$2:$A$609,0))+INDEX('Prior YTD TS Data Pull'!$R$2:$R$128,MATCH('Prior YTD Data Table'!$C115,'Prior YTD TS Data Pull'!$A$2:$A$609,0)),"")</f>
        <v>386573.08</v>
      </c>
      <c r="T115" s="38">
        <f>IF(INDEX('Prior YTD TS Data Pull'!$A$1:$O$609,MATCH('Prior YTD Data Table'!$C115,'Prior YTD TS Data Pull'!$A$1:$A$609,0),MATCH("Temporary RN Staffing:
Line Reported on in Standardized Financials",'Prior YTD TS Data Pull'!$A$1:$O$1,0))="66.1: Salary and Benefit Expense",'Prior YTD Data Table'!$AV115-'Prior YTD Data Table'!$S115,0)</f>
        <v>0</v>
      </c>
      <c r="U115" s="38">
        <f>IFERROR(INDEX('Prior YTD Data Pull'!$A$2:$CB$605,MATCH('Prior YTD Data Table'!$C115,'Prior YTD Data Pull'!$A$2:$A$605,0),MATCH("Total Expenses Including Nonrecurring Gains Losses",'Prior YTD Data Pull'!$A$1:$CB$1,0)),"")</f>
        <v>2491405000</v>
      </c>
      <c r="V115" s="41">
        <f t="shared" si="20"/>
        <v>0</v>
      </c>
      <c r="W115" s="41">
        <f t="shared" si="21"/>
        <v>36.713379796724531</v>
      </c>
      <c r="X115" s="41">
        <f t="shared" si="13"/>
        <v>58.78807988215739</v>
      </c>
      <c r="Y115" s="37">
        <f t="shared" si="22"/>
        <v>5.4066733183329482E-2</v>
      </c>
      <c r="Z115" s="41">
        <f t="shared" si="14"/>
        <v>38.273518756282783</v>
      </c>
      <c r="AA115" s="39">
        <f t="shared" si="23"/>
        <v>7.0937088392365358E-2</v>
      </c>
      <c r="AB115" s="37">
        <f t="shared" si="24"/>
        <v>0.4171532828179616</v>
      </c>
      <c r="AC115" s="37">
        <f t="shared" si="25"/>
        <v>0.39167371468256423</v>
      </c>
      <c r="AD115" s="38">
        <f>IFERROR(INDEX('Prior YTD Data Pull'!$A$2:$CB$605,MATCH('Prior YTD Data Table'!$C115,'Prior YTD Data Pull'!$A$2:$A$605,0),MATCH("Net Patient Service Revenue",'Prior YTD Data Pull'!$A$1:$CB$1,0)),"")</f>
        <v>2228995000</v>
      </c>
      <c r="AE115" s="38">
        <f>IFERROR(INDEX('Prior YTD Data Pull'!$A$2:$CB$605,MATCH('Prior YTD Data Table'!$C115,'Prior YTD Data Pull'!$A$2:$A$605,0),MATCH("Total Current Assets",'Prior YTD Data Pull'!$A$1:$CB$1,0)),"")</f>
        <v>1352882000</v>
      </c>
      <c r="AF115" s="38">
        <f>IFERROR(INDEX('Prior YTD Data Pull'!$A$2:$CB$605,MATCH('Prior YTD Data Table'!$C115,'Prior YTD Data Pull'!$A$2:$A$605,0),MATCH("Total Current Liabilities",'Prior YTD Data Pull'!$A$1:$CB$1,0)),"")</f>
        <v>796762000</v>
      </c>
      <c r="AG115" s="38">
        <f>IFERROR(INDEX('Prior YTD Data Pull'!$A$2:$CB$605,MATCH('Prior YTD Data Table'!$C115,'Prior YTD Data Pull'!$A$2:$A$605,0),MATCH("Total Non Operating Revenue",'Prior YTD Data Pull'!$A$1:$CB$1,0)),"")</f>
        <v>52172000</v>
      </c>
      <c r="AH115" s="38">
        <f>IFERROR(INDEX('Prior YTD Data Pull'!$A$2:$CB$605,MATCH('Prior YTD Data Table'!$C115,'Prior Year Data Pull'!$A$2:$A$593,0),MATCH("Less Accumulated Depreciation",'Prior YTD Data Pull'!$A$1:$CB$1,0)),"")</f>
        <v>0</v>
      </c>
      <c r="AI115" s="38">
        <f>IFERROR(INDEX('Prior YTD Data Pull'!$A$2:$CB$605,MATCH('Prior YTD Data Table'!$C115,'Prior YTD Data Pull'!$A$2:$A$605,0),MATCH("Depreciation and Amortization Expense",'Prior YTD Data Pull'!$A$1:$CB$1,0)),"")</f>
        <v>80053000</v>
      </c>
      <c r="AJ115" s="38">
        <f>IFERROR(INDEX('Prior YTD Data Pull'!$A$2:$CB$605,MATCH('Prior YTD Data Table'!$C115,'Prior YTD Data Pull'!$A$2:$A$605,0),MATCH("Net Patient Accounts Receivable",'Prior YTD Data Pull'!$A$1:$CB$1,0)),"")</f>
        <v>447180000</v>
      </c>
      <c r="AK115" s="14" t="str">
        <f>IF('Prior YTD Data Pull'!$H115 = 6, "183", IF('Prior YTD Data Pull'!$H115 = 3, "93",""))</f>
        <v>183</v>
      </c>
      <c r="AL115" s="38">
        <f>IFERROR(INDEX('Prior YTD Data Pull'!$A$2:$CB$605,MATCH('Prior YTD Data Table'!$C115,'Prior YTD Data Pull'!$A$2:$A$605,0),MATCH("Estimated Third Party Settlements",'Prior YTD Data Pull'!$A$1:$CB$1,0)),"")</f>
        <v>22124000</v>
      </c>
      <c r="AM115" s="38">
        <f>IFERROR(INDEX('Prior YTD Data Pull'!$A$2:$CB$605,MATCH('Prior YTD Data Table'!$C115,'Prior YTD Data Pull'!$A$2:$A$605,0),MATCH("Current Liabilities due to Affiliates",'Prior YTD Data Pull'!$A$1:$CB$1,0)),"")</f>
        <v>0</v>
      </c>
      <c r="AN115" s="38">
        <f>IFERROR(INDEX('Prior YTD Data Pull'!$A$2:$CB$605,MATCH('Prior YTD Data Table'!$C115,'Prior YTD Data Pull'!$A$2:$A$605,0),MATCH("Short Term Investments",'Prior YTD Data Pull'!$A$1:$CB$1,0)),"")</f>
        <v>398842000</v>
      </c>
      <c r="AO115" s="38">
        <f>IFERROR(INDEX('Prior YTD Data Pull'!$A$2:$CB$605,MATCH('Prior YTD Data Table'!$C115,'Prior YTD Data Pull'!$A$2:$A$605,0),MATCH("Cash and Cash Equivalents",'Prior YTD Data Pull'!$A$1:$CB$1,0)),"")</f>
        <v>105480000</v>
      </c>
      <c r="AP115" s="38">
        <f>IFERROR(INDEX('Prior YTD Data Pull'!$A$2:$CB$605,MATCH('Prior YTD Data Table'!$C115,'Prior YTD Data Pull'!$A$2:$A$605,0),MATCH("Interest Expense",'Prior YTD Data Pull'!$A$1:$CB$1,0)),"")</f>
        <v>18618000</v>
      </c>
      <c r="AQ115" s="38">
        <f>IFERROR(INDEX('Prior YTD Data Pull'!$A$2:$CB$605,MATCH('Prior YTD Data Table'!$C115,'Prior YTD Data Pull'!$A$2:$A$605,0),MATCH("Long Term Debt Net of Current Portion",'Prior YTD Data Pull'!$A$1:$CB$1,0)),"")</f>
        <v>1025307000</v>
      </c>
      <c r="AR115" s="38">
        <f>IFERROR(INDEX('Prior YTD Data Pull'!$A$2:$CB$605,MATCH('Prior YTD Data Table'!$C115,'Prior YTD Data Pull'!$A$2:$A$605,0),MATCH("Total Assets",'Prior YTD Data Pull'!$A$1:$CB$1,0)),"")</f>
        <v>4134847000</v>
      </c>
      <c r="AS115" s="38">
        <f>IFERROR(INDEX('Prior YTD Data Pull'!$A$2:$CB$605,MATCH('Prior YTD Data Table'!$C115,'Prior YTD Data Pull'!$A$2:$A$605,0),MATCH("Long Term Debt Net of Current Portion",'Prior YTD Data Pull'!$A$1:$CB$1,0)),"")</f>
        <v>1025307000</v>
      </c>
      <c r="AT115" s="38">
        <f>IFERROR(INDEX('Prior YTD Data Pull'!$A$2:$CB$605,MATCH('Prior YTD Data Table'!$C115,'Prior YTD Data Pull'!$A$2:$A$605,0),MATCH("Net Unrestricted Assets",'Prior YTD Data Pull'!$A$1:$CB$1,0)),"")</f>
        <v>1592451000</v>
      </c>
      <c r="AU115" s="38">
        <f>IFERROR(INDEX('Prior YTD Data Pull'!$A$2:$CB$605,MATCH('Prior YTD Data Table'!$C115,'Prior YTD Data Pull'!$A$2:$A$605,0),MATCH("Unrealized Gains/Losses",'Prior YTD Data Pull'!$A$1:$CB$1,0)),"")</f>
        <v>0</v>
      </c>
      <c r="AV115" s="38">
        <f>IFERROR(INDEX('Prior YTD Data Pull'!$A$2:$CB$605,MATCH('Prior YTD Data Table'!$C115,'Prior YTD Data Pull'!$A$2:$A$605,0),MATCH("Salary and Benefit Expense",'Prior YTD Data Pull'!$A$1:$CB$1,0)),"")</f>
        <v>1323775000</v>
      </c>
      <c r="AW115" s="38"/>
      <c r="AX115" s="38"/>
      <c r="AY115" s="38"/>
      <c r="AZ115" s="38"/>
    </row>
    <row r="116" spans="1:52" ht="34.200000000000003" x14ac:dyDescent="0.3">
      <c r="A116" s="14" t="str">
        <f>IFERROR(INDEX('Static Data Tab'!$N$2:$N$610,MATCH(D116,'Static Data Tab'!$D$2:$D$610,0)), "")</f>
        <v>Cambridge Health Alliance</v>
      </c>
      <c r="B116" s="14" t="s">
        <v>121</v>
      </c>
      <c r="C116" s="14">
        <v>13159</v>
      </c>
      <c r="D116" s="14">
        <v>13159</v>
      </c>
      <c r="E116" s="14" t="str">
        <f>IFERROR(INDEX('Prior YTD Data Pull'!$A$1:$CB$605,MATCH('Prior YTD Data Table'!$C116,'Prior YTD Data Pull'!$A$1:$A$605,0),MATCH("Organization Type",'Prior YTD Data Pull'!$A$1:$CB$1,0)),"")</f>
        <v>HHS</v>
      </c>
      <c r="F116" s="14" t="str">
        <f>IFERROR(INDEX('Static Data Tab'!$E$2:$E$610,MATCH('Prior YTD Data Table'!$C116,'Static Data Tab'!$B$2:$B$610,0)), "-")</f>
        <v>-</v>
      </c>
      <c r="G116" s="46" t="str">
        <f>IFERROR(INDEX('Static Data Tab'!$J$2:$J$610,MATCH('Prior YTD Data Table'!$C116,'Static Data Tab'!$B$2:$B$610,0)), "")</f>
        <v/>
      </c>
      <c r="H116" s="14" t="str">
        <f>IFERROR(INDEX('Static Data Tab'!$F$2:$F$610,MATCH('Prior YTD Data Table'!$C116,'Static Data Tab'!$B$2:$B$610,0)), "")</f>
        <v/>
      </c>
      <c r="I116" s="14" t="str">
        <f>IFERROR(INDEX('Static Data Tab'!$G$2:$G$610,MATCH('Prior YTD Data Table'!$C116,'Static Data Tab'!$B$2:$B$610,0)), "")</f>
        <v/>
      </c>
      <c r="J116" s="14" t="str">
        <f>IFERROR(INDEX('Prior YTD Data Pull'!$A$2:$CB$605,MATCH('Prior YTD Data Table'!$C116,'Prior YTD Data Pull'!$A$2:$A$605,0),MATCH("Quarter Range",'Prior YTD Data Pull'!$A$1:$CB$1,0)),"")</f>
        <v xml:space="preserve">07/01/2024-03/31/2025
</v>
      </c>
      <c r="K116" s="37">
        <f t="shared" si="15"/>
        <v>-3.9359184514891302E-2</v>
      </c>
      <c r="L116" s="37">
        <f t="shared" si="16"/>
        <v>5.9493619596480349E-2</v>
      </c>
      <c r="M116" s="37">
        <f t="shared" si="17"/>
        <v>2.0134435081589044E-2</v>
      </c>
      <c r="N116" s="38">
        <f t="shared" si="18"/>
        <v>16948318</v>
      </c>
      <c r="O116" s="39">
        <f t="shared" si="19"/>
        <v>2.7913036011500281</v>
      </c>
      <c r="P116" s="38">
        <f>IFERROR(INDEX('Prior YTD Data Pull'!$A$2:$CB$605,MATCH('Prior YTD Data Table'!$C116,'Prior YTD Data Pull'!$A$2:$A$605,0),MATCH("Total Net Assets or Equity",'Prior YTD Data Pull'!$A$1:$CB$1,0)),"")</f>
        <v>295548389</v>
      </c>
      <c r="Q116" s="38">
        <f>IFERROR(INDEX('Prior YTD Data Pull'!$A$2:$CB$605,MATCH('Prior YTD Data Table'!$C116,'Prior YTD Data Pull'!$A$2:$A$605,0),MATCH("Total Operating Revenue",'Prior YTD Data Pull'!$A$1:$CB$1,0)),"")</f>
        <v>791678592</v>
      </c>
      <c r="R116" s="38">
        <f>IFERROR(INDEX('Prior YTD Data Pull'!$A$2:$CB$605,MATCH('Prior YTD Data Table'!$C116,'Prior YTD Data Pull'!$A$2:$A$605,0),MATCH("Total Unrestricted Revenue Gains and Other Support",'Prior YTD Data Pull'!$A$1:$CB$1,0)),"")</f>
        <v>841757811</v>
      </c>
      <c r="S116" s="38">
        <f>IFERROR(INDEX('Prior YTD TS Data Pull'!$J$2:$J$128,MATCH('Prior YTD Data Table'!$C116, 'Prior YTD TS Data Pull'!$A$2:$A$128,0))+INDEX('Prior YTD TS Data Pull'!$N$2:$N$128,MATCH('Prior YTD Data Table'!$C116,'Prior YTD TS Data Pull'!$A$2:$A$609,0))+INDEX('Prior YTD TS Data Pull'!$R$2:$R$128,MATCH('Prior YTD Data Table'!$C116,'Prior YTD TS Data Pull'!$A$2:$A$609,0)),"")</f>
        <v>20291466</v>
      </c>
      <c r="T116" s="38">
        <f>IF(INDEX('Prior YTD TS Data Pull'!$A$1:$O$609,MATCH('Prior YTD Data Table'!$C116,'Prior YTD TS Data Pull'!$A$1:$A$609,0),MATCH("Temporary RN Staffing:
Line Reported on in Standardized Financials",'Prior YTD TS Data Pull'!$A$1:$O$1,0))="66.1: Salary and Benefit Expense",'Prior YTD Data Table'!$AV116-'Prior YTD Data Table'!$S116,0)</f>
        <v>0</v>
      </c>
      <c r="U116" s="38">
        <f>IFERROR(INDEX('Prior YTD Data Pull'!$A$2:$CB$605,MATCH('Prior YTD Data Table'!$C116,'Prior YTD Data Pull'!$A$2:$A$605,0),MATCH("Total Expenses Including Nonrecurring Gains Losses",'Prior YTD Data Pull'!$A$1:$CB$1,0)),"")</f>
        <v>824809493</v>
      </c>
      <c r="V116" s="41">
        <f t="shared" si="20"/>
        <v>17.125870313189512</v>
      </c>
      <c r="W116" s="41" t="str">
        <f t="shared" si="21"/>
        <v/>
      </c>
      <c r="X116" s="41" t="str">
        <f t="shared" si="13"/>
        <v/>
      </c>
      <c r="Y116" s="37">
        <f t="shared" si="22"/>
        <v>0.95901212061051311</v>
      </c>
      <c r="Z116" s="41" t="str">
        <f t="shared" si="14"/>
        <v/>
      </c>
      <c r="AA116" s="39">
        <f t="shared" si="23"/>
        <v>0.96036316465015059</v>
      </c>
      <c r="AB116" s="37">
        <f t="shared" si="24"/>
        <v>0.40798271686615528</v>
      </c>
      <c r="AC116" s="37">
        <f t="shared" si="25"/>
        <v>0.15062246346725788</v>
      </c>
      <c r="AD116" s="38">
        <f>IFERROR(INDEX('Prior YTD Data Pull'!$A$2:$CB$605,MATCH('Prior YTD Data Table'!$C116,'Prior YTD Data Pull'!$A$2:$A$605,0),MATCH("Net Patient Service Revenue",'Prior YTD Data Pull'!$A$1:$CB$1,0)),"")</f>
        <v>347557484</v>
      </c>
      <c r="AE116" s="38">
        <f>IFERROR(INDEX('Prior YTD Data Pull'!$A$2:$CB$605,MATCH('Prior YTD Data Table'!$C116,'Prior YTD Data Pull'!$A$2:$A$605,0),MATCH("Total Current Assets",'Prior YTD Data Pull'!$A$1:$CB$1,0)),"")</f>
        <v>409523297</v>
      </c>
      <c r="AF116" s="38">
        <f>IFERROR(INDEX('Prior YTD Data Pull'!$A$2:$CB$605,MATCH('Prior YTD Data Table'!$C116,'Prior YTD Data Pull'!$A$2:$A$605,0),MATCH("Total Current Liabilities",'Prior YTD Data Pull'!$A$1:$CB$1,0)),"")</f>
        <v>146713993</v>
      </c>
      <c r="AG116" s="38">
        <f>IFERROR(INDEX('Prior YTD Data Pull'!$A$2:$CB$605,MATCH('Prior YTD Data Table'!$C116,'Prior YTD Data Pull'!$A$2:$A$605,0),MATCH("Total Non Operating Revenue",'Prior YTD Data Pull'!$A$1:$CB$1,0)),"")</f>
        <v>50079219</v>
      </c>
      <c r="AH116" s="38">
        <f>IFERROR(INDEX('Prior YTD Data Pull'!$A$2:$CB$605,MATCH('Prior YTD Data Table'!$C116,'Prior Year Data Pull'!$A$2:$A$593,0),MATCH("Less Accumulated Depreciation",'Prior YTD Data Pull'!$A$1:$CB$1,0)),"")</f>
        <v>545457000</v>
      </c>
      <c r="AI116" s="38">
        <f>IFERROR(INDEX('Prior YTD Data Pull'!$A$2:$CB$605,MATCH('Prior YTD Data Table'!$C116,'Prior YTD Data Pull'!$A$2:$A$605,0),MATCH("Depreciation and Amortization Expense",'Prior YTD Data Pull'!$A$1:$CB$1,0)),"")</f>
        <v>31849885</v>
      </c>
      <c r="AJ116" s="38">
        <f>IFERROR(INDEX('Prior YTD Data Pull'!$A$2:$CB$605,MATCH('Prior YTD Data Table'!$C116,'Prior YTD Data Pull'!$A$2:$A$605,0),MATCH("Net Patient Accounts Receivable",'Prior YTD Data Pull'!$A$1:$CB$1,0)),"")</f>
        <v>41515606</v>
      </c>
      <c r="AK116" s="14" t="str">
        <f>IF('Prior YTD Data Pull'!$H116 = 6, "183", IF('Prior YTD Data Pull'!$H116 = 3, "93",""))</f>
        <v/>
      </c>
      <c r="AL116" s="38">
        <f>IFERROR(INDEX('Prior YTD Data Pull'!$A$2:$CB$605,MATCH('Prior YTD Data Table'!$C116,'Prior YTD Data Pull'!$A$2:$A$605,0),MATCH("Estimated Third Party Settlements",'Prior YTD Data Pull'!$A$1:$CB$1,0)),"")</f>
        <v>13998932</v>
      </c>
      <c r="AM116" s="38">
        <f>IFERROR(INDEX('Prior YTD Data Pull'!$A$2:$CB$605,MATCH('Prior YTD Data Table'!$C116,'Prior YTD Data Pull'!$A$2:$A$605,0),MATCH("Current Liabilities due to Affiliates",'Prior YTD Data Pull'!$A$1:$CB$1,0)),"")</f>
        <v>0</v>
      </c>
      <c r="AN116" s="38">
        <f>IFERROR(INDEX('Prior YTD Data Pull'!$A$2:$CB$605,MATCH('Prior YTD Data Table'!$C116,'Prior YTD Data Pull'!$A$2:$A$605,0),MATCH("Short Term Investments",'Prior YTD Data Pull'!$A$1:$CB$1,0)),"")</f>
        <v>0</v>
      </c>
      <c r="AO116" s="38">
        <f>IFERROR(INDEX('Prior YTD Data Pull'!$A$2:$CB$605,MATCH('Prior YTD Data Table'!$C116,'Prior YTD Data Pull'!$A$2:$A$605,0),MATCH("Cash and Cash Equivalents",'Prior YTD Data Pull'!$A$1:$CB$1,0)),"")</f>
        <v>186949373</v>
      </c>
      <c r="AP116" s="38">
        <f>IFERROR(INDEX('Prior YTD Data Pull'!$A$2:$CB$605,MATCH('Prior YTD Data Table'!$C116,'Prior YTD Data Pull'!$A$2:$A$605,0),MATCH("Interest Expense",'Prior YTD Data Pull'!$A$1:$CB$1,0)),"")</f>
        <v>1734404</v>
      </c>
      <c r="AQ116" s="38">
        <f>IFERROR(INDEX('Prior YTD Data Pull'!$A$2:$CB$605,MATCH('Prior YTD Data Table'!$C116,'Prior YTD Data Pull'!$A$2:$A$605,0),MATCH("Long Term Debt Net of Current Portion",'Prior YTD Data Pull'!$A$1:$CB$1,0)),"")</f>
        <v>50883823</v>
      </c>
      <c r="AR116" s="38">
        <f>IFERROR(INDEX('Prior YTD Data Pull'!$A$2:$CB$605,MATCH('Prior YTD Data Table'!$C116,'Prior YTD Data Pull'!$A$2:$A$605,0),MATCH("Total Assets",'Prior YTD Data Pull'!$A$1:$CB$1,0)),"")</f>
        <v>724413993</v>
      </c>
      <c r="AS116" s="38">
        <f>IFERROR(INDEX('Prior YTD Data Pull'!$A$2:$CB$605,MATCH('Prior YTD Data Table'!$C116,'Prior YTD Data Pull'!$A$2:$A$605,0),MATCH("Long Term Debt Net of Current Portion",'Prior YTD Data Pull'!$A$1:$CB$1,0)),"")</f>
        <v>50883823</v>
      </c>
      <c r="AT116" s="38">
        <f>IFERROR(INDEX('Prior YTD Data Pull'!$A$2:$CB$605,MATCH('Prior YTD Data Table'!$C116,'Prior YTD Data Pull'!$A$2:$A$605,0),MATCH("Net Unrestricted Assets",'Prior YTD Data Pull'!$A$1:$CB$1,0)),"")</f>
        <v>286939778</v>
      </c>
      <c r="AU116" s="38">
        <f>IFERROR(INDEX('Prior YTD Data Pull'!$A$2:$CB$605,MATCH('Prior YTD Data Table'!$C116,'Prior YTD Data Pull'!$A$2:$A$605,0),MATCH("Unrealized Gains/Losses",'Prior YTD Data Pull'!$A$1:$CB$1,0)),"")</f>
        <v>0</v>
      </c>
      <c r="AV116" s="38">
        <f>IFERROR(INDEX('Prior YTD Data Pull'!$A$2:$CB$605,MATCH('Prior YTD Data Table'!$C116,'Prior YTD Data Pull'!$A$2:$A$605,0),MATCH("Salary and Benefit Expense",'Prior YTD Data Pull'!$A$1:$CB$1,0)),"")</f>
        <v>505713850</v>
      </c>
      <c r="AW116" s="47"/>
      <c r="AX116" s="47"/>
      <c r="AY116" s="47"/>
      <c r="AZ116" s="47"/>
    </row>
    <row r="117" spans="1:52" ht="34.200000000000003" x14ac:dyDescent="0.3">
      <c r="A117" s="14" t="str">
        <f>IFERROR(INDEX('Static Data Tab'!$N$2:$N$610,MATCH(D117,'Static Data Tab'!$D$2:$D$610,0)), "")</f>
        <v>Shriners Hospital for Children</v>
      </c>
      <c r="B117" s="57" t="s">
        <v>613</v>
      </c>
      <c r="C117" s="57">
        <v>13158</v>
      </c>
      <c r="D117" s="57">
        <v>13158</v>
      </c>
      <c r="E117" s="14" t="str">
        <f>IFERROR(INDEX('Prior YTD Data Pull'!$A$1:$CB$605,MATCH('Prior YTD Data Table'!$C117,'Prior YTD Data Pull'!$A$1:$A$605,0),MATCH("Organization Type",'Prior YTD Data Pull'!$A$1:$CB$1,0)),"")</f>
        <v>HHS</v>
      </c>
      <c r="F117" s="14" t="str">
        <f>IFERROR(INDEX('Static Data Tab'!$E$2:$E$610,MATCH('Prior YTD Data Table'!$C117,'Static Data Tab'!$B$2:$B$610,0)), "-")</f>
        <v>-</v>
      </c>
      <c r="G117" s="46" t="str">
        <f>IFERROR(INDEX('Static Data Tab'!$J$2:$J$610,MATCH('Prior YTD Data Table'!$C117,'Static Data Tab'!$B$2:$B$610,0)), "")</f>
        <v/>
      </c>
      <c r="H117" s="14" t="str">
        <f>IFERROR(INDEX('Static Data Tab'!$F$2:$F$610,MATCH('Prior YTD Data Table'!$C117,'Static Data Tab'!$B$2:$B$610,0)), "")</f>
        <v/>
      </c>
      <c r="I117" s="14" t="str">
        <f>IFERROR(INDEX('Static Data Tab'!$G$2:$G$610,MATCH('Prior YTD Data Table'!$C117,'Static Data Tab'!$B$2:$B$610,0)), "")</f>
        <v/>
      </c>
      <c r="J117" s="14" t="str">
        <f>IFERROR(INDEX('Prior YTD Data Pull'!$A$2:$CB$605,MATCH('Prior YTD Data Table'!$C117,'Prior YTD Data Pull'!$A$2:$A$605,0),MATCH("Quarter Range",'Prior YTD Data Pull'!$A$1:$CB$1,0)),"")</f>
        <v xml:space="preserve">01/01/2025-03/31/2025
</v>
      </c>
      <c r="K117" s="37">
        <f t="shared" si="15"/>
        <v>-0.26549630253111284</v>
      </c>
      <c r="L117" s="37">
        <f t="shared" si="16"/>
        <v>0.35672758973125712</v>
      </c>
      <c r="M117" s="37">
        <f t="shared" si="17"/>
        <v>9.1231287200144298E-2</v>
      </c>
      <c r="N117" s="38">
        <f t="shared" si="18"/>
        <v>30349000</v>
      </c>
      <c r="O117" s="39">
        <f t="shared" si="19"/>
        <v>10.539129778461616</v>
      </c>
      <c r="P117" s="38">
        <f>IFERROR(INDEX('Prior YTD Data Pull'!$A$2:$CB$605,MATCH('Prior YTD Data Table'!$C117,'Prior YTD Data Pull'!$A$2:$A$605,0),MATCH("Total Net Assets or Equity",'Prior YTD Data Pull'!$A$1:$CB$1,0)),"")</f>
        <v>11292904000</v>
      </c>
      <c r="Q117" s="38">
        <f>IFERROR(INDEX('Prior YTD Data Pull'!$A$2:$CB$605,MATCH('Prior YTD Data Table'!$C117,'Prior YTD Data Pull'!$A$2:$A$605,0),MATCH("Total Operating Revenue",'Prior YTD Data Pull'!$A$1:$CB$1,0)),"")</f>
        <v>213991000</v>
      </c>
      <c r="R117" s="38">
        <f>IFERROR(INDEX('Prior YTD Data Pull'!$A$2:$CB$605,MATCH('Prior YTD Data Table'!$C117,'Prior YTD Data Pull'!$A$2:$A$605,0),MATCH("Total Unrestricted Revenue Gains and Other Support",'Prior YTD Data Pull'!$A$1:$CB$1,0)),"")</f>
        <v>332660000</v>
      </c>
      <c r="S117" s="38" t="str">
        <f>IFERROR(INDEX('Prior YTD TS Data Pull'!$J$2:$J$128,MATCH('Prior YTD Data Table'!$C117, 'Prior YTD TS Data Pull'!$A$2:$A$128,0))+INDEX('Prior YTD TS Data Pull'!$N$2:$N$128,MATCH('Prior YTD Data Table'!$C117,'Prior YTD TS Data Pull'!$A$2:$A$609,0))+INDEX('Prior YTD TS Data Pull'!$R$2:$R$128,MATCH('Prior YTD Data Table'!$C117,'Prior YTD TS Data Pull'!$A$2:$A$609,0)),"")</f>
        <v/>
      </c>
      <c r="T117" s="38" t="e">
        <f>IF(INDEX('Prior YTD TS Data Pull'!$A$1:$O$609,MATCH('Prior YTD Data Table'!$C117,'Prior YTD TS Data Pull'!$A$1:$A$609,0),MATCH("Temporary RN Staffing:
Line Reported on in Standardized Financials",'Prior YTD TS Data Pull'!$A$1:$O$1,0))="66.1: Salary and Benefit Expense",'Prior YTD Data Table'!$AV117-'Prior YTD Data Table'!$S117,0)</f>
        <v>#N/A</v>
      </c>
      <c r="U117" s="38">
        <f>IFERROR(INDEX('Prior YTD Data Pull'!$A$2:$CB$605,MATCH('Prior YTD Data Table'!$C117,'Prior YTD Data Pull'!$A$2:$A$605,0),MATCH("Total Expenses Including Nonrecurring Gains Losses",'Prior YTD Data Pull'!$A$1:$CB$1,0)),"")</f>
        <v>302311000</v>
      </c>
      <c r="V117" s="41" t="str">
        <f t="shared" si="20"/>
        <v/>
      </c>
      <c r="W117" s="41" t="str">
        <f t="shared" si="21"/>
        <v/>
      </c>
      <c r="X117" s="41" t="str">
        <f t="shared" si="13"/>
        <v/>
      </c>
      <c r="Y117" s="37" t="str">
        <f t="shared" si="22"/>
        <v/>
      </c>
      <c r="Z117" s="41" t="str">
        <f t="shared" si="14"/>
        <v/>
      </c>
      <c r="AA117" s="39" t="str">
        <f t="shared" si="23"/>
        <v/>
      </c>
      <c r="AB117" s="37">
        <f t="shared" si="24"/>
        <v>0.91126349981416299</v>
      </c>
      <c r="AC117" s="37">
        <f t="shared" si="25"/>
        <v>0</v>
      </c>
      <c r="AD117" s="38">
        <f>IFERROR(INDEX('Prior YTD Data Pull'!$A$2:$CB$605,MATCH('Prior YTD Data Table'!$C117,'Prior YTD Data Pull'!$A$2:$A$605,0),MATCH("Net Patient Service Revenue",'Prior YTD Data Pull'!$A$1:$CB$1,0)),"")</f>
        <v>44825000</v>
      </c>
      <c r="AE117" s="38">
        <f>IFERROR(INDEX('Prior YTD Data Pull'!$A$2:$CB$605,MATCH('Prior YTD Data Table'!$C117,'Prior YTD Data Pull'!$A$2:$A$605,0),MATCH("Total Current Assets",'Prior YTD Data Pull'!$A$1:$CB$1,0)),"")</f>
        <v>11589607000</v>
      </c>
      <c r="AF117" s="38">
        <f>IFERROR(INDEX('Prior YTD Data Pull'!$A$2:$CB$605,MATCH('Prior YTD Data Table'!$C117,'Prior YTD Data Pull'!$A$2:$A$605,0),MATCH("Total Current Liabilities",'Prior YTD Data Pull'!$A$1:$CB$1,0)),"")</f>
        <v>1099674000</v>
      </c>
      <c r="AG117" s="38">
        <f>IFERROR(INDEX('Prior YTD Data Pull'!$A$2:$CB$605,MATCH('Prior YTD Data Table'!$C117,'Prior YTD Data Pull'!$A$2:$A$605,0),MATCH("Total Non Operating Revenue",'Prior YTD Data Pull'!$A$1:$CB$1,0)),"")</f>
        <v>118669000</v>
      </c>
      <c r="AH117" s="38" t="str">
        <f>IFERROR(INDEX('Prior YTD Data Pull'!$A$2:$CB$605,MATCH('Prior YTD Data Table'!$C117,'Prior Year Data Pull'!$A$2:$A$593,0),MATCH("Less Accumulated Depreciation",'Prior YTD Data Pull'!$A$1:$CB$1,0)),"")</f>
        <v/>
      </c>
      <c r="AI117" s="38">
        <f>IFERROR(INDEX('Prior YTD Data Pull'!$A$2:$CB$605,MATCH('Prior YTD Data Table'!$C117,'Prior YTD Data Pull'!$A$2:$A$605,0),MATCH("Depreciation and Amortization Expense",'Prior YTD Data Pull'!$A$1:$CB$1,0)),"")</f>
        <v>0</v>
      </c>
      <c r="AJ117" s="38">
        <f>IFERROR(INDEX('Prior YTD Data Pull'!$A$2:$CB$605,MATCH('Prior YTD Data Table'!$C117,'Prior YTD Data Pull'!$A$2:$A$605,0),MATCH("Net Patient Accounts Receivable",'Prior YTD Data Pull'!$A$1:$CB$1,0)),"")</f>
        <v>32709000</v>
      </c>
      <c r="AK117" s="14" t="e">
        <f>IF('Prior YTD Data Pull'!#REF! = 6, "183", IF('Prior YTD Data Pull'!#REF! = 3, "93",""))</f>
        <v>#REF!</v>
      </c>
      <c r="AL117" s="38">
        <f>IFERROR(INDEX('Prior YTD Data Pull'!$A$2:$CB$605,MATCH('Prior YTD Data Table'!$C117,'Prior YTD Data Pull'!$A$2:$A$605,0),MATCH("Estimated Third Party Settlements",'Prior YTD Data Pull'!$A$1:$CB$1,0)),"")</f>
        <v>0</v>
      </c>
      <c r="AM117" s="38">
        <f>IFERROR(INDEX('Prior YTD Data Pull'!$A$2:$CB$605,MATCH('Prior YTD Data Table'!$C117,'Prior YTD Data Pull'!$A$2:$A$605,0),MATCH("Current Liabilities due to Affiliates",'Prior YTD Data Pull'!$A$1:$CB$1,0)),"")</f>
        <v>0</v>
      </c>
      <c r="AN117" s="38">
        <f>IFERROR(INDEX('Prior YTD Data Pull'!$A$2:$CB$605,MATCH('Prior YTD Data Table'!$C117,'Prior YTD Data Pull'!$A$2:$A$605,0),MATCH("Short Term Investments",'Prior YTD Data Pull'!$A$1:$CB$1,0)),"")</f>
        <v>0</v>
      </c>
      <c r="AO117" s="38">
        <f>IFERROR(INDEX('Prior YTD Data Pull'!$A$2:$CB$605,MATCH('Prior YTD Data Table'!$C117,'Prior YTD Data Pull'!$A$2:$A$605,0),MATCH("Cash and Cash Equivalents",'Prior YTD Data Pull'!$A$1:$CB$1,0)),"")</f>
        <v>18127000</v>
      </c>
      <c r="AP117" s="38">
        <f>IFERROR(INDEX('Prior YTD Data Pull'!$A$2:$CB$605,MATCH('Prior YTD Data Table'!$C117,'Prior YTD Data Pull'!$A$2:$A$605,0),MATCH("Interest Expense",'Prior YTD Data Pull'!$A$1:$CB$1,0)),"")</f>
        <v>0</v>
      </c>
      <c r="AQ117" s="38">
        <f>IFERROR(INDEX('Prior YTD Data Pull'!$A$2:$CB$605,MATCH('Prior YTD Data Table'!$C117,'Prior YTD Data Pull'!$A$2:$A$605,0),MATCH("Long Term Debt Net of Current Portion",'Prior YTD Data Pull'!$A$1:$CB$1,0)),"")</f>
        <v>0</v>
      </c>
      <c r="AR117" s="38">
        <f>IFERROR(INDEX('Prior YTD Data Pull'!$A$2:$CB$605,MATCH('Prior YTD Data Table'!$C117,'Prior YTD Data Pull'!$A$2:$A$605,0),MATCH("Total Assets",'Prior YTD Data Pull'!$A$1:$CB$1,0)),"")</f>
        <v>12392578000</v>
      </c>
      <c r="AS117" s="38">
        <f>IFERROR(INDEX('Prior YTD Data Pull'!$A$2:$CB$605,MATCH('Prior YTD Data Table'!$C117,'Prior YTD Data Pull'!$A$2:$A$605,0),MATCH("Long Term Debt Net of Current Portion",'Prior YTD Data Pull'!$A$1:$CB$1,0)),"")</f>
        <v>0</v>
      </c>
      <c r="AT117" s="38">
        <f>IFERROR(INDEX('Prior YTD Data Pull'!$A$2:$CB$605,MATCH('Prior YTD Data Table'!$C117,'Prior YTD Data Pull'!$A$2:$A$605,0),MATCH("Net Unrestricted Assets",'Prior YTD Data Pull'!$A$1:$CB$1,0)),"")</f>
        <v>9767940000</v>
      </c>
      <c r="AU117" s="38">
        <f>IFERROR(INDEX('Prior YTD Data Pull'!$A$2:$CB$605,MATCH('Prior YTD Data Table'!$C117,'Prior YTD Data Pull'!$A$2:$A$605,0),MATCH("Unrealized Gains/Losses",'Prior YTD Data Pull'!$A$1:$CB$1,0)),"")</f>
        <v>0</v>
      </c>
      <c r="AV117" s="38">
        <f>IFERROR(INDEX('Prior YTD Data Pull'!$A$2:$CB$605,MATCH('Prior YTD Data Table'!$C117,'Prior YTD Data Pull'!$A$2:$A$605,0),MATCH("Salary and Benefit Expense",'Prior YTD Data Pull'!$A$1:$CB$1,0)),"")</f>
        <v>0</v>
      </c>
      <c r="AW117" s="38"/>
      <c r="AX117" s="38"/>
      <c r="AY117" s="38"/>
      <c r="AZ117" s="38"/>
    </row>
    <row r="118" spans="1:52" ht="34.200000000000003" x14ac:dyDescent="0.3">
      <c r="A118" s="14" t="str">
        <f>IFERROR(INDEX('Static Data Tab'!$N$2:$N$610,MATCH(D118,'Static Data Tab'!$D$2:$D$610,0)), "")</f>
        <v>Cape Cod Healthcare</v>
      </c>
      <c r="B118" s="14" t="s">
        <v>122</v>
      </c>
      <c r="C118" s="14">
        <v>3109</v>
      </c>
      <c r="D118" s="14">
        <v>3109</v>
      </c>
      <c r="E118" s="14" t="str">
        <f>IFERROR(INDEX('Prior YTD Data Pull'!$A$1:$CB$605,MATCH('Prior YTD Data Table'!$C118,'Prior YTD Data Pull'!$A$1:$A$605,0),MATCH("Organization Type",'Prior YTD Data Pull'!$A$1:$CB$1,0)),"")</f>
        <v>HHS</v>
      </c>
      <c r="F118" s="14" t="str">
        <f>IFERROR(INDEX('Static Data Tab'!$E$2:$E$610,MATCH('Prior YTD Data Table'!$C118,'Static Data Tab'!$B$2:$B$610,0)), "-")</f>
        <v>-</v>
      </c>
      <c r="G118" s="46" t="str">
        <f>IFERROR(INDEX('Static Data Tab'!$J$2:$J$610,MATCH('Prior YTD Data Table'!$C118,'Static Data Tab'!$B$2:$B$610,0)), "")</f>
        <v/>
      </c>
      <c r="H118" s="14" t="str">
        <f>IFERROR(INDEX('Static Data Tab'!$F$2:$F$610,MATCH('Prior YTD Data Table'!$C118,'Static Data Tab'!$B$2:$B$610,0)), "")</f>
        <v/>
      </c>
      <c r="I118" s="14" t="str">
        <f>IFERROR(INDEX('Static Data Tab'!$G$2:$G$610,MATCH('Prior YTD Data Table'!$C118,'Static Data Tab'!$B$2:$B$610,0)), "")</f>
        <v/>
      </c>
      <c r="J118" s="14" t="str">
        <f>IFERROR(INDEX('Prior YTD Data Pull'!$A$2:$CB$605,MATCH('Prior YTD Data Table'!$C118,'Prior YTD Data Pull'!$A$2:$A$605,0),MATCH("Quarter Range",'Prior YTD Data Pull'!$A$1:$CB$1,0)),"")</f>
        <v xml:space="preserve">10/01/2024-03/31/2025
</v>
      </c>
      <c r="K118" s="37">
        <f t="shared" si="15"/>
        <v>-7.1835692652865888E-4</v>
      </c>
      <c r="L118" s="37">
        <f t="shared" si="16"/>
        <v>4.9059000670218672E-4</v>
      </c>
      <c r="M118" s="37">
        <f t="shared" si="17"/>
        <v>-2.2776691982647211E-4</v>
      </c>
      <c r="N118" s="38">
        <f t="shared" si="18"/>
        <v>-135733</v>
      </c>
      <c r="O118" s="39">
        <f t="shared" si="19"/>
        <v>1.2923154099969425</v>
      </c>
      <c r="P118" s="38">
        <f>IFERROR(INDEX('Prior YTD Data Pull'!$A$2:$CB$605,MATCH('Prior YTD Data Table'!$C118,'Prior YTD Data Pull'!$A$2:$A$605,0),MATCH("Total Net Assets or Equity",'Prior YTD Data Pull'!$A$1:$CB$1,0)),"")</f>
        <v>995364738</v>
      </c>
      <c r="Q118" s="38">
        <f>IFERROR(INDEX('Prior YTD Data Pull'!$A$2:$CB$605,MATCH('Prior YTD Data Table'!$C118,'Prior YTD Data Pull'!$A$2:$A$605,0),MATCH("Total Operating Revenue",'Prior YTD Data Pull'!$A$1:$CB$1,0)),"")</f>
        <v>595637026</v>
      </c>
      <c r="R118" s="38">
        <f>IFERROR(INDEX('Prior YTD Data Pull'!$A$2:$CB$605,MATCH('Prior YTD Data Table'!$C118,'Prior YTD Data Pull'!$A$2:$A$605,0),MATCH("Total Unrestricted Revenue Gains and Other Support",'Prior YTD Data Pull'!$A$1:$CB$1,0)),"")</f>
        <v>595929383</v>
      </c>
      <c r="S118" s="38">
        <f>IFERROR(INDEX('Prior YTD TS Data Pull'!$J$2:$J$128,MATCH('Prior YTD Data Table'!$C118, 'Prior YTD TS Data Pull'!$A$2:$A$128,0))+INDEX('Prior YTD TS Data Pull'!$N$2:$N$128,MATCH('Prior YTD Data Table'!$C118,'Prior YTD TS Data Pull'!$A$2:$A$609,0))+INDEX('Prior YTD TS Data Pull'!$R$2:$R$128,MATCH('Prior YTD Data Table'!$C118,'Prior YTD TS Data Pull'!$A$2:$A$609,0)),"")</f>
        <v>13578980.73</v>
      </c>
      <c r="T118" s="38">
        <f>IF(INDEX('Prior YTD TS Data Pull'!$A$1:$O$609,MATCH('Prior YTD Data Table'!$C118,'Prior YTD TS Data Pull'!$A$1:$A$609,0),MATCH("Temporary RN Staffing:
Line Reported on in Standardized Financials",'Prior YTD TS Data Pull'!$A$1:$O$1,0))="66.1: Salary and Benefit Expense",'Prior YTD Data Table'!$AV118-'Prior YTD Data Table'!$S118,0)</f>
        <v>347807894.26999998</v>
      </c>
      <c r="U118" s="38">
        <f>IFERROR(INDEX('Prior YTD Data Pull'!$A$2:$CB$605,MATCH('Prior YTD Data Table'!$C118,'Prior YTD Data Pull'!$A$2:$A$605,0),MATCH("Total Expenses Including Nonrecurring Gains Losses",'Prior YTD Data Pull'!$A$1:$CB$1,0)),"")</f>
        <v>596065116</v>
      </c>
      <c r="V118" s="41">
        <f t="shared" si="20"/>
        <v>3.6840785201650297</v>
      </c>
      <c r="W118" s="41">
        <f t="shared" si="21"/>
        <v>34.99207525647838</v>
      </c>
      <c r="X118" s="41">
        <f t="shared" si="13"/>
        <v>61.922121571673387</v>
      </c>
      <c r="Y118" s="37">
        <f t="shared" si="22"/>
        <v>0.18834152922783715</v>
      </c>
      <c r="Z118" s="41">
        <f t="shared" si="14"/>
        <v>33.985182496641265</v>
      </c>
      <c r="AA118" s="39">
        <f t="shared" si="23"/>
        <v>0.19151922517371878</v>
      </c>
      <c r="AB118" s="37">
        <f t="shared" si="24"/>
        <v>0.71800988351201445</v>
      </c>
      <c r="AC118" s="37">
        <f t="shared" si="25"/>
        <v>0.11276987243630018</v>
      </c>
      <c r="AD118" s="38">
        <f>IFERROR(INDEX('Prior YTD Data Pull'!$A$2:$CB$605,MATCH('Prior YTD Data Table'!$C118,'Prior YTD Data Pull'!$A$2:$A$605,0),MATCH("Net Patient Service Revenue",'Prior YTD Data Pull'!$A$1:$CB$1,0)),"")</f>
        <v>552122859</v>
      </c>
      <c r="AE118" s="38">
        <f>IFERROR(INDEX('Prior YTD Data Pull'!$A$2:$CB$605,MATCH('Prior YTD Data Table'!$C118,'Prior YTD Data Pull'!$A$2:$A$605,0),MATCH("Total Current Assets",'Prior YTD Data Pull'!$A$1:$CB$1,0)),"")</f>
        <v>269627876.86000001</v>
      </c>
      <c r="AF118" s="38">
        <f>IFERROR(INDEX('Prior YTD Data Pull'!$A$2:$CB$605,MATCH('Prior YTD Data Table'!$C118,'Prior YTD Data Pull'!$A$2:$A$605,0),MATCH("Total Current Liabilities",'Prior YTD Data Pull'!$A$1:$CB$1,0)),"")</f>
        <v>208639373</v>
      </c>
      <c r="AG118" s="38">
        <f>IFERROR(INDEX('Prior YTD Data Pull'!$A$2:$CB$605,MATCH('Prior YTD Data Table'!$C118,'Prior YTD Data Pull'!$A$2:$A$605,0),MATCH("Total Non Operating Revenue",'Prior YTD Data Pull'!$A$1:$CB$1,0)),"")</f>
        <v>292357</v>
      </c>
      <c r="AH118" s="38">
        <f>IFERROR(INDEX('Prior YTD Data Pull'!$A$2:$CB$605,MATCH('Prior YTD Data Table'!$C118,'Prior Year Data Pull'!$A$2:$A$593,0),MATCH("Less Accumulated Depreciation",'Prior YTD Data Pull'!$A$1:$CB$1,0)),"")</f>
        <v>80053000</v>
      </c>
      <c r="AI118" s="38">
        <f>IFERROR(INDEX('Prior YTD Data Pull'!$A$2:$CB$605,MATCH('Prior YTD Data Table'!$C118,'Prior YTD Data Pull'!$A$2:$A$605,0),MATCH("Depreciation and Amortization Expense",'Prior YTD Data Pull'!$A$1:$CB$1,0)),"")</f>
        <v>21729450</v>
      </c>
      <c r="AJ118" s="38">
        <f>IFERROR(INDEX('Prior YTD Data Pull'!$A$2:$CB$605,MATCH('Prior YTD Data Table'!$C118,'Prior YTD Data Pull'!$A$2:$A$605,0),MATCH("Net Patient Accounts Receivable",'Prior YTD Data Pull'!$A$1:$CB$1,0)),"")</f>
        <v>105573358.65000001</v>
      </c>
      <c r="AK118" s="14" t="str">
        <f>IF('Prior YTD Data Pull'!$H117 = 6, "183", IF('Prior YTD Data Pull'!$H117 = 3, "93",""))</f>
        <v>183</v>
      </c>
      <c r="AL118" s="38">
        <f>IFERROR(INDEX('Prior YTD Data Pull'!$A$2:$CB$605,MATCH('Prior YTD Data Table'!$C118,'Prior YTD Data Pull'!$A$2:$A$605,0),MATCH("Estimated Third Party Settlements",'Prior YTD Data Pull'!$A$1:$CB$1,0)),"")</f>
        <v>14300122</v>
      </c>
      <c r="AM118" s="38">
        <f>IFERROR(INDEX('Prior YTD Data Pull'!$A$2:$CB$605,MATCH('Prior YTD Data Table'!$C118,'Prior YTD Data Pull'!$A$2:$A$605,0),MATCH("Current Liabilities due to Affiliates",'Prior YTD Data Pull'!$A$1:$CB$1,0)),"")</f>
        <v>0</v>
      </c>
      <c r="AN118" s="38">
        <f>IFERROR(INDEX('Prior YTD Data Pull'!$A$2:$CB$605,MATCH('Prior YTD Data Table'!$C118,'Prior YTD Data Pull'!$A$2:$A$605,0),MATCH("Short Term Investments",'Prior YTD Data Pull'!$A$1:$CB$1,0)),"")</f>
        <v>66874733.140000001</v>
      </c>
      <c r="AO118" s="38">
        <f>IFERROR(INDEX('Prior YTD Data Pull'!$A$2:$CB$605,MATCH('Prior YTD Data Table'!$C118,'Prior YTD Data Pull'!$A$2:$A$605,0),MATCH("Cash and Cash Equivalents",'Prior YTD Data Pull'!$A$1:$CB$1,0)),"")</f>
        <v>39785935.840000004</v>
      </c>
      <c r="AP118" s="38">
        <f>IFERROR(INDEX('Prior YTD Data Pull'!$A$2:$CB$605,MATCH('Prior YTD Data Table'!$C118,'Prior YTD Data Pull'!$A$2:$A$605,0),MATCH("Interest Expense",'Prior YTD Data Pull'!$A$1:$CB$1,0)),"")</f>
        <v>450634</v>
      </c>
      <c r="AQ118" s="38">
        <f>IFERROR(INDEX('Prior YTD Data Pull'!$A$2:$CB$605,MATCH('Prior YTD Data Table'!$C118,'Prior YTD Data Pull'!$A$2:$A$605,0),MATCH("Long Term Debt Net of Current Portion",'Prior YTD Data Pull'!$A$1:$CB$1,0)),"")</f>
        <v>114651915</v>
      </c>
      <c r="AR118" s="38">
        <f>IFERROR(INDEX('Prior YTD Data Pull'!$A$2:$CB$605,MATCH('Prior YTD Data Table'!$C118,'Prior YTD Data Pull'!$A$2:$A$605,0),MATCH("Total Assets",'Prior YTD Data Pull'!$A$1:$CB$1,0)),"")</f>
        <v>1386282780.8599999</v>
      </c>
      <c r="AS118" s="38">
        <f>IFERROR(INDEX('Prior YTD Data Pull'!$A$2:$CB$605,MATCH('Prior YTD Data Table'!$C118,'Prior YTD Data Pull'!$A$2:$A$605,0),MATCH("Long Term Debt Net of Current Portion",'Prior YTD Data Pull'!$A$1:$CB$1,0)),"")</f>
        <v>114651915</v>
      </c>
      <c r="AT118" s="38">
        <f>IFERROR(INDEX('Prior YTD Data Pull'!$A$2:$CB$605,MATCH('Prior YTD Data Table'!$C118,'Prior YTD Data Pull'!$A$2:$A$605,0),MATCH("Net Unrestricted Assets",'Prior YTD Data Pull'!$A$1:$CB$1,0)),"")</f>
        <v>902037317</v>
      </c>
      <c r="AU118" s="38">
        <f>IFERROR(INDEX('Prior YTD Data Pull'!$A$2:$CB$605,MATCH('Prior YTD Data Table'!$C118,'Prior YTD Data Pull'!$A$2:$A$605,0),MATCH("Unrealized Gains/Losses",'Prior YTD Data Pull'!$A$1:$CB$1,0)),"")</f>
        <v>0</v>
      </c>
      <c r="AV118" s="38">
        <f>IFERROR(INDEX('Prior YTD Data Pull'!$A$2:$CB$605,MATCH('Prior YTD Data Table'!$C118,'Prior YTD Data Pull'!$A$2:$A$605,0),MATCH("Salary and Benefit Expense",'Prior YTD Data Pull'!$A$1:$CB$1,0)),"")</f>
        <v>361386875</v>
      </c>
      <c r="AW118" s="47"/>
      <c r="AX118" s="47"/>
      <c r="AY118" s="47"/>
      <c r="AZ118" s="47"/>
    </row>
    <row r="119" spans="1:52" ht="34.200000000000003" x14ac:dyDescent="0.3">
      <c r="A119" s="14" t="str">
        <f>IFERROR(INDEX('Static Data Tab'!$N$2:$N$610,MATCH(D119,'Static Data Tab'!$D$2:$D$610,0)), "")</f>
        <v>Trinity Health</v>
      </c>
      <c r="B119" s="57" t="s">
        <v>183</v>
      </c>
      <c r="C119" s="57">
        <v>14288</v>
      </c>
      <c r="D119" s="57">
        <v>14288</v>
      </c>
      <c r="E119" s="14" t="str">
        <f>IFERROR(INDEX('Prior YTD Data Pull'!$A$1:$CB$605,MATCH('Prior YTD Data Table'!$C119,'Prior YTD Data Pull'!$A$1:$A$605,0),MATCH("Organization Type",'Prior YTD Data Pull'!$A$1:$CB$1,0)),"")</f>
        <v>HHS</v>
      </c>
      <c r="F119" s="14" t="str">
        <f>IFERROR(INDEX('Static Data Tab'!$E$2:$E$610,MATCH('Prior YTD Data Table'!$C119,'Static Data Tab'!$B$2:$B$610,0)), "-")</f>
        <v>-</v>
      </c>
      <c r="G119" s="46" t="str">
        <f>IFERROR(INDEX('Static Data Tab'!$J$2:$J$610,MATCH('Prior YTD Data Table'!$C119,'Static Data Tab'!$B$2:$B$610,0)), "")</f>
        <v/>
      </c>
      <c r="H119" s="14" t="str">
        <f>IFERROR(INDEX('Static Data Tab'!$F$2:$F$610,MATCH('Prior YTD Data Table'!$C119,'Static Data Tab'!$B$2:$B$610,0)), "")</f>
        <v/>
      </c>
      <c r="I119" s="14" t="str">
        <f>IFERROR(INDEX('Static Data Tab'!$G$2:$G$610,MATCH('Prior YTD Data Table'!$C119,'Static Data Tab'!$B$2:$B$610,0)), "")</f>
        <v/>
      </c>
      <c r="J119" s="14" t="str">
        <f>IFERROR(INDEX('Prior YTD Data Pull'!$A$2:$CB$605,MATCH('Prior YTD Data Table'!$C119,'Prior YTD Data Pull'!$A$2:$A$605,0),MATCH("Quarter Range",'Prior YTD Data Pull'!$A$1:$CB$1,0)),"")</f>
        <v xml:space="preserve">07/01/2024-03/31/2025
</v>
      </c>
      <c r="K119" s="37">
        <f t="shared" si="15"/>
        <v>1.0124911186082953E-2</v>
      </c>
      <c r="L119" s="37">
        <f t="shared" si="16"/>
        <v>2.6990143050148269E-2</v>
      </c>
      <c r="M119" s="37">
        <f t="shared" si="17"/>
        <v>3.7115054236231224E-2</v>
      </c>
      <c r="N119" s="38">
        <f t="shared" si="18"/>
        <v>725370897</v>
      </c>
      <c r="O119" s="39">
        <f t="shared" si="19"/>
        <v>2.1839047043843602</v>
      </c>
      <c r="P119" s="38">
        <f>IFERROR(INDEX('Prior YTD Data Pull'!$A$2:$CB$605,MATCH('Prior YTD Data Table'!$C119,'Prior YTD Data Pull'!$A$2:$A$605,0),MATCH("Total Net Assets or Equity",'Prior YTD Data Pull'!$A$1:$CB$1,0)),"")</f>
        <v>19756860993</v>
      </c>
      <c r="Q119" s="38">
        <f>IFERROR(INDEX('Prior YTD Data Pull'!$A$2:$CB$605,MATCH('Prior YTD Data Table'!$C119,'Prior YTD Data Pull'!$A$2:$A$605,0),MATCH("Total Operating Revenue",'Prior YTD Data Pull'!$A$1:$CB$1,0)),"")</f>
        <v>19016354610</v>
      </c>
      <c r="R119" s="38">
        <f>IFERROR(INDEX('Prior YTD Data Pull'!$A$2:$CB$605,MATCH('Prior YTD Data Table'!$C119,'Prior YTD Data Pull'!$A$2:$A$605,0),MATCH("Total Unrestricted Revenue Gains and Other Support",'Prior YTD Data Pull'!$A$1:$CB$1,0)),"")</f>
        <v>19543845804</v>
      </c>
      <c r="S119" s="38">
        <f>IFERROR(INDEX('Prior YTD TS Data Pull'!$J$2:$J$128,MATCH('Prior YTD Data Table'!$C119, 'Prior YTD TS Data Pull'!$A$2:$A$128,0))+INDEX('Prior YTD TS Data Pull'!$N$2:$N$128,MATCH('Prior YTD Data Table'!$C119,'Prior YTD TS Data Pull'!$A$2:$A$609,0))+INDEX('Prior YTD TS Data Pull'!$R$2:$R$128,MATCH('Prior YTD Data Table'!$C119,'Prior YTD TS Data Pull'!$A$2:$A$609,0)),"")</f>
        <v>60312937</v>
      </c>
      <c r="T119" s="38">
        <f>IF(INDEX('Prior YTD TS Data Pull'!$A$1:$O$609,MATCH('Prior YTD Data Table'!$C119,'Prior YTD TS Data Pull'!$A$1:$A$609,0),MATCH("Temporary RN Staffing:
Line Reported on in Standardized Financials",'Prior YTD TS Data Pull'!$A$1:$O$1,0))="66.1: Salary and Benefit Expense",'Prior YTD Data Table'!$AV119-'Prior YTD Data Table'!$S119,0)</f>
        <v>10109978588</v>
      </c>
      <c r="U119" s="38">
        <f>IFERROR(INDEX('Prior YTD Data Pull'!$A$2:$CB$605,MATCH('Prior YTD Data Table'!$C119,'Prior YTD Data Pull'!$A$2:$A$605,0),MATCH("Total Expenses Including Nonrecurring Gains Losses",'Prior YTD Data Pull'!$A$1:$CB$1,0)),"")</f>
        <v>18818474907</v>
      </c>
      <c r="V119" s="41">
        <f t="shared" si="20"/>
        <v>0</v>
      </c>
      <c r="W119" s="41">
        <f t="shared" si="21"/>
        <v>16.856760789702143</v>
      </c>
      <c r="X119" s="41">
        <f t="shared" si="13"/>
        <v>26.166328657824096</v>
      </c>
      <c r="Y119" s="37">
        <f t="shared" si="22"/>
        <v>0.21835082839114717</v>
      </c>
      <c r="Z119" s="41">
        <f t="shared" si="14"/>
        <v>29.524035428949446</v>
      </c>
      <c r="AA119" s="39">
        <f t="shared" si="23"/>
        <v>0.24182341463451423</v>
      </c>
      <c r="AB119" s="37">
        <f t="shared" si="24"/>
        <v>0.57851758567480571</v>
      </c>
      <c r="AC119" s="37">
        <f t="shared" si="25"/>
        <v>0.25066451834408404</v>
      </c>
      <c r="AD119" s="38">
        <f>IFERROR(INDEX('Prior YTD Data Pull'!$A$2:$CB$605,MATCH('Prior YTD Data Table'!$C119,'Prior YTD Data Pull'!$A$2:$A$605,0),MATCH("Net Patient Service Revenue",'Prior YTD Data Pull'!$A$1:$CB$1,0)),"")</f>
        <v>16241275145</v>
      </c>
      <c r="AE119" s="38">
        <f>IFERROR(INDEX('Prior YTD Data Pull'!$A$2:$CB$605,MATCH('Prior YTD Data Table'!$C119,'Prior YTD Data Pull'!$A$2:$A$605,0),MATCH("Total Current Assets",'Prior YTD Data Pull'!$A$1:$CB$1,0)),"")</f>
        <v>11764650425</v>
      </c>
      <c r="AF119" s="38">
        <f>IFERROR(INDEX('Prior YTD Data Pull'!$A$2:$CB$605,MATCH('Prior YTD Data Table'!$C119,'Prior YTD Data Pull'!$A$2:$A$605,0),MATCH("Total Current Liabilities",'Prior YTD Data Pull'!$A$1:$CB$1,0)),"")</f>
        <v>5386979753</v>
      </c>
      <c r="AG119" s="38">
        <f>IFERROR(INDEX('Prior YTD Data Pull'!$A$2:$CB$605,MATCH('Prior YTD Data Table'!$C119,'Prior YTD Data Pull'!$A$2:$A$605,0),MATCH("Total Non Operating Revenue",'Prior YTD Data Pull'!$A$1:$CB$1,0)),"")</f>
        <v>527491194</v>
      </c>
      <c r="AH119" s="38">
        <f>IFERROR(INDEX('Prior YTD Data Pull'!$A$2:$CB$605,MATCH('Prior YTD Data Table'!$C119,'Prior Year Data Pull'!$A$2:$A$593,0),MATCH("Less Accumulated Depreciation",'Prior YTD Data Pull'!$A$1:$CB$1,0)),"")</f>
        <v>0</v>
      </c>
      <c r="AI119" s="38">
        <f>IFERROR(INDEX('Prior YTD Data Pull'!$A$2:$CB$605,MATCH('Prior YTD Data Table'!$C119,'Prior YTD Data Pull'!$A$2:$A$605,0),MATCH("Depreciation and Amortization Expense",'Prior YTD Data Pull'!$A$1:$CB$1,0)),"")</f>
        <v>666358570</v>
      </c>
      <c r="AJ119" s="38">
        <f>IFERROR(INDEX('Prior YTD Data Pull'!$A$2:$CB$605,MATCH('Prior YTD Data Table'!$C119,'Prior YTD Data Pull'!$A$2:$A$605,0),MATCH("Net Patient Accounts Receivable",'Prior YTD Data Pull'!$A$1:$CB$1,0)),"")</f>
        <v>2943820323</v>
      </c>
      <c r="AK119" s="14" t="str">
        <f>IF('Prior YTD Data Pull'!$H118 = 6, "183", IF('Prior YTD Data Pull'!$H118 = 3, "93",""))</f>
        <v>93</v>
      </c>
      <c r="AL119" s="38">
        <f>IFERROR(INDEX('Prior YTD Data Pull'!$A$2:$CB$605,MATCH('Prior YTD Data Table'!$C119,'Prior YTD Data Pull'!$A$2:$A$605,0),MATCH("Estimated Third Party Settlements",'Prior YTD Data Pull'!$A$1:$CB$1,0)),"")</f>
        <v>279729840</v>
      </c>
      <c r="AM119" s="38">
        <f>IFERROR(INDEX('Prior YTD Data Pull'!$A$2:$CB$605,MATCH('Prior YTD Data Table'!$C119,'Prior YTD Data Pull'!$A$2:$A$605,0),MATCH("Current Liabilities due to Affiliates",'Prior YTD Data Pull'!$A$1:$CB$1,0)),"")</f>
        <v>0</v>
      </c>
      <c r="AN119" s="38">
        <f>IFERROR(INDEX('Prior YTD Data Pull'!$A$2:$CB$605,MATCH('Prior YTD Data Table'!$C119,'Prior YTD Data Pull'!$A$2:$A$605,0),MATCH("Short Term Investments",'Prior YTD Data Pull'!$A$1:$CB$1,0)),"")</f>
        <v>5280001239</v>
      </c>
      <c r="AO119" s="38">
        <f>IFERROR(INDEX('Prior YTD Data Pull'!$A$2:$CB$605,MATCH('Prior YTD Data Table'!$C119,'Prior YTD Data Pull'!$A$2:$A$605,0),MATCH("Cash and Cash Equivalents",'Prior YTD Data Pull'!$A$1:$CB$1,0)),"")</f>
        <v>482619469</v>
      </c>
      <c r="AP119" s="38">
        <f>IFERROR(INDEX('Prior YTD Data Pull'!$A$2:$CB$605,MATCH('Prior YTD Data Table'!$C119,'Prior YTD Data Pull'!$A$2:$A$605,0),MATCH("Interest Expense",'Prior YTD Data Pull'!$A$1:$CB$1,0)),"")</f>
        <v>197328836</v>
      </c>
      <c r="AQ119" s="38">
        <f>IFERROR(INDEX('Prior YTD Data Pull'!$A$2:$CB$605,MATCH('Prior YTD Data Table'!$C119,'Prior YTD Data Pull'!$A$2:$A$605,0),MATCH("Long Term Debt Net of Current Portion",'Prior YTD Data Pull'!$A$1:$CB$1,0)),"")</f>
        <v>6373822702</v>
      </c>
      <c r="AR119" s="38">
        <f>IFERROR(INDEX('Prior YTD Data Pull'!$A$2:$CB$605,MATCH('Prior YTD Data Table'!$C119,'Prior YTD Data Pull'!$A$2:$A$605,0),MATCH("Total Assets",'Prior YTD Data Pull'!$A$1:$CB$1,0)),"")</f>
        <v>34150839114</v>
      </c>
      <c r="AS119" s="38">
        <f>IFERROR(INDEX('Prior YTD Data Pull'!$A$2:$CB$605,MATCH('Prior YTD Data Table'!$C119,'Prior YTD Data Pull'!$A$2:$A$605,0),MATCH("Long Term Debt Net of Current Portion",'Prior YTD Data Pull'!$A$1:$CB$1,0)),"")</f>
        <v>6373822702</v>
      </c>
      <c r="AT119" s="38">
        <f>IFERROR(INDEX('Prior YTD Data Pull'!$A$2:$CB$605,MATCH('Prior YTD Data Table'!$C119,'Prior YTD Data Pull'!$A$2:$A$605,0),MATCH("Net Unrestricted Assets",'Prior YTD Data Pull'!$A$1:$CB$1,0)),"")</f>
        <v>19053879408</v>
      </c>
      <c r="AU119" s="38">
        <f>IFERROR(INDEX('Prior YTD Data Pull'!$A$2:$CB$605,MATCH('Prior YTD Data Table'!$C119,'Prior YTD Data Pull'!$A$2:$A$605,0),MATCH("Unrealized Gains/Losses",'Prior YTD Data Pull'!$A$1:$CB$1,0)),"")</f>
        <v>0</v>
      </c>
      <c r="AV119" s="38">
        <f>IFERROR(INDEX('Prior YTD Data Pull'!$A$2:$CB$605,MATCH('Prior YTD Data Table'!$C119,'Prior YTD Data Pull'!$A$2:$A$605,0),MATCH("Salary and Benefit Expense",'Prior YTD Data Pull'!$A$1:$CB$1,0)),"")</f>
        <v>10170291525</v>
      </c>
      <c r="AW119" s="38"/>
      <c r="AX119" s="38"/>
      <c r="AY119" s="38"/>
      <c r="AZ119" s="38"/>
    </row>
    <row r="120" spans="1:52" ht="34.200000000000003" x14ac:dyDescent="0.3">
      <c r="A120" s="14" t="str">
        <f>IFERROR(INDEX('Static Data Tab'!$N$2:$N$610,MATCH(D120,'Static Data Tab'!$D$2:$D$610,0)), "")</f>
        <v>Valley Health System</v>
      </c>
      <c r="B120" s="14" t="s">
        <v>203</v>
      </c>
      <c r="C120" s="14">
        <v>12767</v>
      </c>
      <c r="D120" s="14">
        <v>12767</v>
      </c>
      <c r="E120" s="14" t="str">
        <f>IFERROR(INDEX('Prior YTD Data Pull'!$A$1:$CB$605,MATCH('Prior YTD Data Table'!$C120,'Prior YTD Data Pull'!$A$1:$A$605,0),MATCH("Organization Type",'Prior YTD Data Pull'!$A$1:$CB$1,0)),"")</f>
        <v>HHS</v>
      </c>
      <c r="F120" s="14" t="str">
        <f>IFERROR(INDEX('Static Data Tab'!$E$2:$E$610,MATCH('Prior YTD Data Table'!$C120,'Static Data Tab'!$B$2:$B$610,0)), "-")</f>
        <v>-</v>
      </c>
      <c r="G120" s="46" t="str">
        <f>IFERROR(INDEX('Static Data Tab'!$J$2:$J$610,MATCH('Prior YTD Data Table'!$C120,'Static Data Tab'!$B$2:$B$610,0)), "")</f>
        <v/>
      </c>
      <c r="H120" s="14" t="str">
        <f>IFERROR(INDEX('Static Data Tab'!$F$2:$F$610,MATCH('Prior YTD Data Table'!$C120,'Static Data Tab'!$B$2:$B$610,0)), "")</f>
        <v/>
      </c>
      <c r="I120" s="14" t="str">
        <f>IFERROR(INDEX('Static Data Tab'!$G$2:$G$610,MATCH('Prior YTD Data Table'!$C120,'Static Data Tab'!$B$2:$B$610,0)), "")</f>
        <v/>
      </c>
      <c r="J120" s="14" t="str">
        <f>IFERROR(INDEX('Prior YTD Data Pull'!$A$2:$CB$605,MATCH('Prior YTD Data Table'!$C120,'Prior YTD Data Pull'!$A$2:$A$605,0),MATCH("Quarter Range",'Prior YTD Data Pull'!$A$1:$CB$1,0)),"")</f>
        <v xml:space="preserve">10/01/2024-03/31/2025
</v>
      </c>
      <c r="K120" s="37">
        <f t="shared" si="15"/>
        <v>3.2339869654047795E-2</v>
      </c>
      <c r="L120" s="37">
        <f t="shared" si="16"/>
        <v>1.5199221105571979E-3</v>
      </c>
      <c r="M120" s="37">
        <f t="shared" si="17"/>
        <v>3.3859791764604998E-2</v>
      </c>
      <c r="N120" s="38">
        <f t="shared" si="18"/>
        <v>5660177</v>
      </c>
      <c r="O120" s="39">
        <f t="shared" si="19"/>
        <v>1.0909830947358561</v>
      </c>
      <c r="P120" s="38">
        <f>IFERROR(INDEX('Prior YTD Data Pull'!$A$2:$CB$605,MATCH('Prior YTD Data Table'!$C120,'Prior YTD Data Pull'!$A$2:$A$605,0),MATCH("Total Net Assets or Equity",'Prior YTD Data Pull'!$A$1:$CB$1,0)),"")</f>
        <v>57428317</v>
      </c>
      <c r="Q120" s="38">
        <f>IFERROR(INDEX('Prior YTD Data Pull'!$A$2:$CB$605,MATCH('Prior YTD Data Table'!$C120,'Prior YTD Data Pull'!$A$2:$A$605,0),MATCH("Total Operating Revenue",'Prior YTD Data Pull'!$A$1:$CB$1,0)),"")</f>
        <v>166911067</v>
      </c>
      <c r="R120" s="38">
        <f>IFERROR(INDEX('Prior YTD Data Pull'!$A$2:$CB$605,MATCH('Prior YTD Data Table'!$C120,'Prior YTD Data Pull'!$A$2:$A$605,0),MATCH("Total Unrestricted Revenue Gains and Other Support",'Prior YTD Data Pull'!$A$1:$CB$1,0)),"")</f>
        <v>167165145</v>
      </c>
      <c r="S120" s="38">
        <f>IFERROR(INDEX('Prior YTD TS Data Pull'!$J$2:$J$128,MATCH('Prior YTD Data Table'!$C120, 'Prior YTD TS Data Pull'!$A$2:$A$128,0))+INDEX('Prior YTD TS Data Pull'!$N$2:$N$128,MATCH('Prior YTD Data Table'!$C120,'Prior YTD TS Data Pull'!$A$2:$A$609,0))+INDEX('Prior YTD TS Data Pull'!$R$2:$R$128,MATCH('Prior YTD Data Table'!$C120,'Prior YTD TS Data Pull'!$A$2:$A$609,0)),"")</f>
        <v>0</v>
      </c>
      <c r="T120" s="38">
        <f>IF(INDEX('Prior YTD TS Data Pull'!$A$1:$O$609,MATCH('Prior YTD Data Table'!$C120,'Prior YTD TS Data Pull'!$A$1:$A$609,0),MATCH("Temporary RN Staffing:
Line Reported on in Standardized Financials",'Prior YTD TS Data Pull'!$A$1:$O$1,0))="66.1: Salary and Benefit Expense",'Prior YTD Data Table'!$AV120-'Prior YTD Data Table'!$S120,0)</f>
        <v>0</v>
      </c>
      <c r="U120" s="38">
        <f>IFERROR(INDEX('Prior YTD Data Pull'!$A$2:$CB$605,MATCH('Prior YTD Data Table'!$C120,'Prior YTD Data Pull'!$A$2:$A$605,0),MATCH("Total Expenses Including Nonrecurring Gains Losses",'Prior YTD Data Pull'!$A$1:$CB$1,0)),"")</f>
        <v>161504968</v>
      </c>
      <c r="V120" s="41">
        <f t="shared" si="20"/>
        <v>0</v>
      </c>
      <c r="W120" s="41">
        <f t="shared" si="21"/>
        <v>43.81215175289956</v>
      </c>
      <c r="X120" s="41">
        <f t="shared" si="13"/>
        <v>69.45073912415701</v>
      </c>
      <c r="Y120" s="37">
        <f t="shared" si="22"/>
        <v>0.49145965521329521</v>
      </c>
      <c r="Z120" s="41">
        <f t="shared" si="14"/>
        <v>25.271546298553275</v>
      </c>
      <c r="AA120" s="39">
        <f t="shared" si="23"/>
        <v>0.50378061027811039</v>
      </c>
      <c r="AB120" s="37">
        <f t="shared" si="24"/>
        <v>0.38109670569504167</v>
      </c>
      <c r="AC120" s="37">
        <f t="shared" si="25"/>
        <v>0.27200114081485716</v>
      </c>
      <c r="AD120" s="38">
        <f>IFERROR(INDEX('Prior YTD Data Pull'!$A$2:$CB$605,MATCH('Prior YTD Data Table'!$C120,'Prior YTD Data Pull'!$A$2:$A$605,0),MATCH("Net Patient Service Revenue",'Prior YTD Data Pull'!$A$1:$CB$1,0)),"")</f>
        <v>139353278</v>
      </c>
      <c r="AE120" s="38">
        <f>IFERROR(INDEX('Prior YTD Data Pull'!$A$2:$CB$605,MATCH('Prior YTD Data Table'!$C120,'Prior YTD Data Pull'!$A$2:$A$605,0),MATCH("Total Current Assets",'Prior YTD Data Pull'!$A$1:$CB$1,0)),"")</f>
        <v>71648687</v>
      </c>
      <c r="AF120" s="38">
        <f>IFERROR(INDEX('Prior YTD Data Pull'!$A$2:$CB$605,MATCH('Prior YTD Data Table'!$C120,'Prior YTD Data Pull'!$A$2:$A$605,0),MATCH("Total Current Liabilities",'Prior YTD Data Pull'!$A$1:$CB$1,0)),"")</f>
        <v>65673508</v>
      </c>
      <c r="AG120" s="38">
        <f>IFERROR(INDEX('Prior YTD Data Pull'!$A$2:$CB$605,MATCH('Prior YTD Data Table'!$C120,'Prior YTD Data Pull'!$A$2:$A$605,0),MATCH("Total Non Operating Revenue",'Prior YTD Data Pull'!$A$1:$CB$1,0)),"")</f>
        <v>254078</v>
      </c>
      <c r="AH120" s="38">
        <f>IFERROR(INDEX('Prior YTD Data Pull'!$A$2:$CB$605,MATCH('Prior YTD Data Table'!$C120,'Prior Year Data Pull'!$A$2:$A$593,0),MATCH("Less Accumulated Depreciation",'Prior YTD Data Pull'!$A$1:$CB$1,0)),"")</f>
        <v>0</v>
      </c>
      <c r="AI120" s="38">
        <f>IFERROR(INDEX('Prior YTD Data Pull'!$A$2:$CB$605,MATCH('Prior YTD Data Table'!$C120,'Prior YTD Data Pull'!$A$2:$A$605,0),MATCH("Depreciation and Amortization Expense",'Prior YTD Data Pull'!$A$1:$CB$1,0)),"")</f>
        <v>3521835</v>
      </c>
      <c r="AJ120" s="38">
        <f>IFERROR(INDEX('Prior YTD Data Pull'!$A$2:$CB$605,MATCH('Prior YTD Data Table'!$C120,'Prior YTD Data Pull'!$A$2:$A$605,0),MATCH("Net Patient Accounts Receivable",'Prior YTD Data Pull'!$A$1:$CB$1,0)),"")</f>
        <v>33362661</v>
      </c>
      <c r="AK120" s="14" t="str">
        <f>IF('Prior YTD Data Pull'!$H119 = 6, "183", IF('Prior YTD Data Pull'!$H119 = 3, "93",""))</f>
        <v>183</v>
      </c>
      <c r="AL120" s="38">
        <f>IFERROR(INDEX('Prior YTD Data Pull'!$A$2:$CB$605,MATCH('Prior YTD Data Table'!$C120,'Prior YTD Data Pull'!$A$2:$A$605,0),MATCH("Estimated Third Party Settlements",'Prior YTD Data Pull'!$A$1:$CB$1,0)),"")</f>
        <v>5716976</v>
      </c>
      <c r="AM120" s="38">
        <f>IFERROR(INDEX('Prior YTD Data Pull'!$A$2:$CB$605,MATCH('Prior YTD Data Table'!$C120,'Prior YTD Data Pull'!$A$2:$A$605,0),MATCH("Current Liabilities due to Affiliates",'Prior YTD Data Pull'!$A$1:$CB$1,0)),"")</f>
        <v>0</v>
      </c>
      <c r="AN120" s="38">
        <f>IFERROR(INDEX('Prior YTD Data Pull'!$A$2:$CB$605,MATCH('Prior YTD Data Table'!$C120,'Prior YTD Data Pull'!$A$2:$A$605,0),MATCH("Short Term Investments",'Prior YTD Data Pull'!$A$1:$CB$1,0)),"")</f>
        <v>66622</v>
      </c>
      <c r="AO120" s="38">
        <f>IFERROR(INDEX('Prior YTD Data Pull'!$A$2:$CB$605,MATCH('Prior YTD Data Table'!$C120,'Prior YTD Data Pull'!$A$2:$A$605,0),MATCH("Cash and Cash Equivalents",'Prior YTD Data Pull'!$A$1:$CB$1,0)),"")</f>
        <v>21750198</v>
      </c>
      <c r="AP120" s="38">
        <f>IFERROR(INDEX('Prior YTD Data Pull'!$A$2:$CB$605,MATCH('Prior YTD Data Table'!$C120,'Prior YTD Data Pull'!$A$2:$A$605,0),MATCH("Interest Expense",'Prior YTD Data Pull'!$A$1:$CB$1,0)),"")</f>
        <v>463896</v>
      </c>
      <c r="AQ120" s="38">
        <f>IFERROR(INDEX('Prior YTD Data Pull'!$A$2:$CB$605,MATCH('Prior YTD Data Table'!$C120,'Prior YTD Data Pull'!$A$2:$A$605,0),MATCH("Long Term Debt Net of Current Portion",'Prior YTD Data Pull'!$A$1:$CB$1,0)),"")</f>
        <v>18683145</v>
      </c>
      <c r="AR120" s="38">
        <f>IFERROR(INDEX('Prior YTD Data Pull'!$A$2:$CB$605,MATCH('Prior YTD Data Table'!$C120,'Prior YTD Data Pull'!$A$2:$A$605,0),MATCH("Total Assets",'Prior YTD Data Pull'!$A$1:$CB$1,0)),"")</f>
        <v>150692242</v>
      </c>
      <c r="AS120" s="38">
        <f>IFERROR(INDEX('Prior YTD Data Pull'!$A$2:$CB$605,MATCH('Prior YTD Data Table'!$C120,'Prior YTD Data Pull'!$A$2:$A$605,0),MATCH("Long Term Debt Net of Current Portion",'Prior YTD Data Pull'!$A$1:$CB$1,0)),"")</f>
        <v>18683145</v>
      </c>
      <c r="AT120" s="38">
        <f>IFERROR(INDEX('Prior YTD Data Pull'!$A$2:$CB$605,MATCH('Prior YTD Data Table'!$C120,'Prior YTD Data Pull'!$A$2:$A$605,0),MATCH("Net Unrestricted Assets",'Prior YTD Data Pull'!$A$1:$CB$1,0)),"")</f>
        <v>50004600</v>
      </c>
      <c r="AU120" s="38">
        <f>IFERROR(INDEX('Prior YTD Data Pull'!$A$2:$CB$605,MATCH('Prior YTD Data Table'!$C120,'Prior YTD Data Pull'!$A$2:$A$605,0),MATCH("Unrealized Gains/Losses",'Prior YTD Data Pull'!$A$1:$CB$1,0)),"")</f>
        <v>0</v>
      </c>
      <c r="AV120" s="38">
        <f>IFERROR(INDEX('Prior YTD Data Pull'!$A$2:$CB$605,MATCH('Prior YTD Data Table'!$C120,'Prior YTD Data Pull'!$A$2:$A$605,0),MATCH("Salary and Benefit Expense",'Prior YTD Data Pull'!$A$1:$CB$1,0)),"")</f>
        <v>103898182</v>
      </c>
      <c r="AW120" s="47"/>
      <c r="AX120" s="47"/>
      <c r="AY120" s="47"/>
      <c r="AZ120" s="47"/>
    </row>
    <row r="121" spans="1:52" ht="34.200000000000003" x14ac:dyDescent="0.3">
      <c r="A121" s="14" t="str">
        <f>IFERROR(INDEX('Static Data Tab'!$N$2:$N$610,MATCH(D121,'Static Data Tab'!$D$2:$D$610,0)), "")</f>
        <v>UMass Memorial Health Care</v>
      </c>
      <c r="B121" s="57" t="s">
        <v>202</v>
      </c>
      <c r="C121" s="57">
        <v>9784</v>
      </c>
      <c r="D121" s="57">
        <v>6755</v>
      </c>
      <c r="E121" s="14" t="str">
        <f>IFERROR(INDEX('Prior YTD Data Pull'!$A$1:$CB$605,MATCH('Prior YTD Data Table'!$C121,'Prior YTD Data Pull'!$A$1:$A$605,0),MATCH("Organization Type",'Prior YTD Data Pull'!$A$1:$CB$1,0)),"")</f>
        <v>PhysicianOrganization</v>
      </c>
      <c r="F121" s="14" t="str">
        <f>IFERROR(INDEX('Static Data Tab'!$E$2:$E$610,MATCH('Prior YTD Data Table'!$C121,'Static Data Tab'!$B$2:$B$610,0)), "-")</f>
        <v>-</v>
      </c>
      <c r="G121" s="46" t="str">
        <f>IFERROR(INDEX('Static Data Tab'!$J$2:$J$610,MATCH('Prior YTD Data Table'!$C121,'Static Data Tab'!$B$2:$B$610,0)), "")</f>
        <v/>
      </c>
      <c r="H121" s="14" t="str">
        <f>IFERROR(INDEX('Static Data Tab'!$F$2:$F$610,MATCH('Prior YTD Data Table'!$C121,'Static Data Tab'!$B$2:$B$610,0)), "")</f>
        <v/>
      </c>
      <c r="I121" s="14" t="str">
        <f>IFERROR(INDEX('Static Data Tab'!$G$2:$G$610,MATCH('Prior YTD Data Table'!$C121,'Static Data Tab'!$B$2:$B$610,0)), "")</f>
        <v/>
      </c>
      <c r="J121" s="14" t="str">
        <f>IFERROR(INDEX('Prior YTD Data Pull'!$A$2:$CB$605,MATCH('Prior YTD Data Table'!$C121,'Prior YTD Data Pull'!$A$2:$A$605,0),MATCH("Quarter Range",'Prior YTD Data Pull'!$A$1:$CB$1,0)),"")</f>
        <v xml:space="preserve">10/01/2024-03/31/2025
</v>
      </c>
      <c r="K121" s="37">
        <f t="shared" si="15"/>
        <v>-4.8799921946142841E-2</v>
      </c>
      <c r="L121" s="37">
        <f t="shared" si="16"/>
        <v>7.712464457618614E-4</v>
      </c>
      <c r="M121" s="37">
        <f t="shared" si="17"/>
        <v>-4.802867550038098E-2</v>
      </c>
      <c r="N121" s="38">
        <f t="shared" si="18"/>
        <v>-20675000</v>
      </c>
      <c r="O121" s="39" t="str">
        <f t="shared" si="19"/>
        <v/>
      </c>
      <c r="P121" s="38">
        <f>IFERROR(INDEX('Prior YTD Data Pull'!$A$2:$CB$605,MATCH('Prior YTD Data Table'!$C121,'Prior YTD Data Pull'!$A$2:$A$605,0),MATCH("Total Net Assets or Equity",'Prior YTD Data Pull'!$A$1:$CB$1,0)),"")</f>
        <v>0</v>
      </c>
      <c r="Q121" s="38">
        <f>IFERROR(INDEX('Prior YTD Data Pull'!$A$2:$CB$605,MATCH('Prior YTD Data Table'!$C121,'Prior YTD Data Pull'!$A$2:$A$605,0),MATCH("Total Operating Revenue",'Prior YTD Data Pull'!$A$1:$CB$1,0)),"")</f>
        <v>430140000</v>
      </c>
      <c r="R121" s="38">
        <f>IFERROR(INDEX('Prior YTD Data Pull'!$A$2:$CB$605,MATCH('Prior YTD Data Table'!$C121,'Prior YTD Data Pull'!$A$2:$A$605,0),MATCH("Total Unrestricted Revenue Gains and Other Support",'Prior YTD Data Pull'!$A$1:$CB$1,0)),"")</f>
        <v>430472000</v>
      </c>
      <c r="S121" s="38">
        <f>IFERROR(INDEX('Prior YTD TS Data Pull'!$J$2:$J$128,MATCH('Prior YTD Data Table'!$C121, 'Prior YTD TS Data Pull'!$A$2:$A$128,0))+INDEX('Prior YTD TS Data Pull'!$N$2:$N$128,MATCH('Prior YTD Data Table'!$C121,'Prior YTD TS Data Pull'!$A$2:$A$609,0))+INDEX('Prior YTD TS Data Pull'!$R$2:$R$128,MATCH('Prior YTD Data Table'!$C121,'Prior YTD TS Data Pull'!$A$2:$A$609,0)),"")</f>
        <v>273996.40000000002</v>
      </c>
      <c r="T121" s="38">
        <f>IF(INDEX('Prior YTD TS Data Pull'!$A$1:$O$609,MATCH('Prior YTD Data Table'!$C121,'Prior YTD TS Data Pull'!$A$1:$A$609,0),MATCH("Temporary RN Staffing:
Line Reported on in Standardized Financials",'Prior YTD TS Data Pull'!$A$1:$O$1,0))="66.1: Salary and Benefit Expense",'Prior YTD Data Table'!$AV121-'Prior YTD Data Table'!$S121,0)</f>
        <v>0</v>
      </c>
      <c r="U121" s="38">
        <f>IFERROR(INDEX('Prior YTD Data Pull'!$A$2:$CB$605,MATCH('Prior YTD Data Table'!$C121,'Prior YTD Data Pull'!$A$2:$A$605,0),MATCH("Total Expenses Including Nonrecurring Gains Losses",'Prior YTD Data Pull'!$A$1:$CB$1,0)),"")</f>
        <v>451147000</v>
      </c>
      <c r="V121" s="41">
        <f t="shared" si="20"/>
        <v>0</v>
      </c>
      <c r="W121" s="41">
        <f t="shared" si="21"/>
        <v>0</v>
      </c>
      <c r="X121" s="41">
        <f t="shared" si="13"/>
        <v>0</v>
      </c>
      <c r="Y121" s="37" t="str">
        <f t="shared" si="22"/>
        <v/>
      </c>
      <c r="Z121" s="41">
        <f t="shared" si="14"/>
        <v>0</v>
      </c>
      <c r="AA121" s="39" t="str">
        <f t="shared" si="23"/>
        <v/>
      </c>
      <c r="AB121" s="37" t="str">
        <f t="shared" si="24"/>
        <v/>
      </c>
      <c r="AC121" s="37" t="str">
        <f t="shared" si="25"/>
        <v/>
      </c>
      <c r="AD121" s="38">
        <f>IFERROR(INDEX('Prior YTD Data Pull'!$A$2:$CB$605,MATCH('Prior YTD Data Table'!$C121,'Prior YTD Data Pull'!$A$2:$A$605,0),MATCH("Net Patient Service Revenue",'Prior YTD Data Pull'!$A$1:$CB$1,0)),"")</f>
        <v>295237000</v>
      </c>
      <c r="AE121" s="38">
        <f>IFERROR(INDEX('Prior YTD Data Pull'!$A$2:$CB$605,MATCH('Prior YTD Data Table'!$C121,'Prior YTD Data Pull'!$A$2:$A$605,0),MATCH("Total Current Assets",'Prior YTD Data Pull'!$A$1:$CB$1,0)),"")</f>
        <v>0</v>
      </c>
      <c r="AF121" s="38">
        <f>IFERROR(INDEX('Prior YTD Data Pull'!$A$2:$CB$605,MATCH('Prior YTD Data Table'!$C121,'Prior YTD Data Pull'!$A$2:$A$605,0),MATCH("Total Current Liabilities",'Prior YTD Data Pull'!$A$1:$CB$1,0)),"")</f>
        <v>0</v>
      </c>
      <c r="AG121" s="38">
        <f>IFERROR(INDEX('Prior YTD Data Pull'!$A$2:$CB$605,MATCH('Prior YTD Data Table'!$C121,'Prior YTD Data Pull'!$A$2:$A$605,0),MATCH("Total Non Operating Revenue",'Prior YTD Data Pull'!$A$1:$CB$1,0)),"")</f>
        <v>332000</v>
      </c>
      <c r="AH121" s="38">
        <f>IFERROR(INDEX('Prior YTD Data Pull'!$A$2:$CB$605,MATCH('Prior YTD Data Table'!$C121,'Prior Year Data Pull'!$A$2:$A$593,0),MATCH("Less Accumulated Depreciation",'Prior YTD Data Pull'!$A$1:$CB$1,0)),"")</f>
        <v>0</v>
      </c>
      <c r="AI121" s="38">
        <f>IFERROR(INDEX('Prior YTD Data Pull'!$A$2:$CB$605,MATCH('Prior YTD Data Table'!$C121,'Prior YTD Data Pull'!$A$2:$A$605,0),MATCH("Depreciation and Amortization Expense",'Prior YTD Data Pull'!$A$1:$CB$1,0)),"")</f>
        <v>1609000</v>
      </c>
      <c r="AJ121" s="38">
        <f>IFERROR(INDEX('Prior YTD Data Pull'!$A$2:$CB$605,MATCH('Prior YTD Data Table'!$C121,'Prior YTD Data Pull'!$A$2:$A$605,0),MATCH("Net Patient Accounts Receivable",'Prior YTD Data Pull'!$A$1:$CB$1,0)),"")</f>
        <v>0</v>
      </c>
      <c r="AK121" s="14" t="str">
        <f>IF('Prior YTD Data Pull'!$H120 = 6, "183", IF('Prior YTD Data Pull'!$H120 = 3, "93",""))</f>
        <v>183</v>
      </c>
      <c r="AL121" s="38">
        <f>IFERROR(INDEX('Prior YTD Data Pull'!$A$2:$CB$605,MATCH('Prior YTD Data Table'!$C121,'Prior YTD Data Pull'!$A$2:$A$605,0),MATCH("Estimated Third Party Settlements",'Prior YTD Data Pull'!$A$1:$CB$1,0)),"")</f>
        <v>0</v>
      </c>
      <c r="AM121" s="38">
        <f>IFERROR(INDEX('Prior YTD Data Pull'!$A$2:$CB$605,MATCH('Prior YTD Data Table'!$C121,'Prior YTD Data Pull'!$A$2:$A$605,0),MATCH("Current Liabilities due to Affiliates",'Prior YTD Data Pull'!$A$1:$CB$1,0)),"")</f>
        <v>0</v>
      </c>
      <c r="AN121" s="38">
        <f>IFERROR(INDEX('Prior YTD Data Pull'!$A$2:$CB$605,MATCH('Prior YTD Data Table'!$C121,'Prior YTD Data Pull'!$A$2:$A$605,0),MATCH("Short Term Investments",'Prior YTD Data Pull'!$A$1:$CB$1,0)),"")</f>
        <v>0</v>
      </c>
      <c r="AO121" s="38">
        <f>IFERROR(INDEX('Prior YTD Data Pull'!$A$2:$CB$605,MATCH('Prior YTD Data Table'!$C121,'Prior YTD Data Pull'!$A$2:$A$605,0),MATCH("Cash and Cash Equivalents",'Prior YTD Data Pull'!$A$1:$CB$1,0)),"")</f>
        <v>0</v>
      </c>
      <c r="AP121" s="38">
        <f>IFERROR(INDEX('Prior YTD Data Pull'!$A$2:$CB$605,MATCH('Prior YTD Data Table'!$C121,'Prior YTD Data Pull'!$A$2:$A$605,0),MATCH("Interest Expense",'Prior YTD Data Pull'!$A$1:$CB$1,0)),"")</f>
        <v>0</v>
      </c>
      <c r="AQ121" s="38">
        <f>IFERROR(INDEX('Prior YTD Data Pull'!$A$2:$CB$605,MATCH('Prior YTD Data Table'!$C121,'Prior YTD Data Pull'!$A$2:$A$605,0),MATCH("Long Term Debt Net of Current Portion",'Prior YTD Data Pull'!$A$1:$CB$1,0)),"")</f>
        <v>0</v>
      </c>
      <c r="AR121" s="38">
        <f>IFERROR(INDEX('Prior YTD Data Pull'!$A$2:$CB$605,MATCH('Prior YTD Data Table'!$C121,'Prior YTD Data Pull'!$A$2:$A$605,0),MATCH("Total Assets",'Prior YTD Data Pull'!$A$1:$CB$1,0)),"")</f>
        <v>0</v>
      </c>
      <c r="AS121" s="38">
        <f>IFERROR(INDEX('Prior YTD Data Pull'!$A$2:$CB$605,MATCH('Prior YTD Data Table'!$C121,'Prior YTD Data Pull'!$A$2:$A$605,0),MATCH("Long Term Debt Net of Current Portion",'Prior YTD Data Pull'!$A$1:$CB$1,0)),"")</f>
        <v>0</v>
      </c>
      <c r="AT121" s="38">
        <f>IFERROR(INDEX('Prior YTD Data Pull'!$A$2:$CB$605,MATCH('Prior YTD Data Table'!$C121,'Prior YTD Data Pull'!$A$2:$A$605,0),MATCH("Net Unrestricted Assets",'Prior YTD Data Pull'!$A$1:$CB$1,0)),"")</f>
        <v>0</v>
      </c>
      <c r="AU121" s="38">
        <f>IFERROR(INDEX('Prior YTD Data Pull'!$A$2:$CB$605,MATCH('Prior YTD Data Table'!$C121,'Prior YTD Data Pull'!$A$2:$A$605,0),MATCH("Unrealized Gains/Losses",'Prior YTD Data Pull'!$A$1:$CB$1,0)),"")</f>
        <v>0</v>
      </c>
      <c r="AV121" s="38">
        <f>IFERROR(INDEX('Prior YTD Data Pull'!$A$2:$CB$605,MATCH('Prior YTD Data Table'!$C121,'Prior YTD Data Pull'!$A$2:$A$605,0),MATCH("Salary and Benefit Expense",'Prior YTD Data Pull'!$A$1:$CB$1,0)),"")</f>
        <v>343848000</v>
      </c>
      <c r="AW121" s="38"/>
      <c r="AX121" s="38"/>
      <c r="AY121" s="38"/>
      <c r="AZ121" s="38"/>
    </row>
    <row r="122" spans="1:52" ht="34.200000000000003" x14ac:dyDescent="0.3">
      <c r="A122" s="14" t="str">
        <f>IFERROR(INDEX('Static Data Tab'!$N$2:$N$610,MATCH(D122,'Static Data Tab'!$D$2:$D$610,0)), "")</f>
        <v>Cape Cod Healthcare</v>
      </c>
      <c r="B122" s="14" t="s">
        <v>126</v>
      </c>
      <c r="C122" s="14">
        <v>11810</v>
      </c>
      <c r="D122" s="14">
        <v>3109</v>
      </c>
      <c r="E122" s="14" t="str">
        <f>IFERROR(INDEX('Prior YTD Data Pull'!$A$1:$CB$605,MATCH('Prior YTD Data Table'!$C122,'Prior YTD Data Pull'!$A$1:$A$605,0),MATCH("Organization Type",'Prior YTD Data Pull'!$A$1:$CB$1,0)),"")</f>
        <v>PhysicianOrganization</v>
      </c>
      <c r="F122" s="14" t="str">
        <f>IFERROR(INDEX('Static Data Tab'!$E$2:$E$610,MATCH('Prior YTD Data Table'!$C122,'Static Data Tab'!$B$2:$B$610,0)), "-")</f>
        <v>-</v>
      </c>
      <c r="G122" s="46" t="str">
        <f>IFERROR(INDEX('Static Data Tab'!$J$2:$J$610,MATCH('Prior YTD Data Table'!$C122,'Static Data Tab'!$B$2:$B$610,0)), "")</f>
        <v/>
      </c>
      <c r="H122" s="14" t="str">
        <f>IFERROR(INDEX('Static Data Tab'!$F$2:$F$610,MATCH('Prior YTD Data Table'!$C122,'Static Data Tab'!$B$2:$B$610,0)), "")</f>
        <v/>
      </c>
      <c r="I122" s="14" t="str">
        <f>IFERROR(INDEX('Static Data Tab'!$G$2:$G$610,MATCH('Prior YTD Data Table'!$C122,'Static Data Tab'!$B$2:$B$610,0)), "")</f>
        <v/>
      </c>
      <c r="J122" s="14" t="str">
        <f>IFERROR(INDEX('Prior YTD Data Pull'!$A$2:$CB$605,MATCH('Prior YTD Data Table'!$C122,'Prior YTD Data Pull'!$A$2:$A$605,0),MATCH("Quarter Range",'Prior YTD Data Pull'!$A$1:$CB$1,0)),"")</f>
        <v xml:space="preserve">10/01/2024-03/31/2025
</v>
      </c>
      <c r="K122" s="37">
        <f t="shared" si="15"/>
        <v>-0.40446338143911886</v>
      </c>
      <c r="L122" s="37">
        <f t="shared" si="16"/>
        <v>0</v>
      </c>
      <c r="M122" s="37">
        <f t="shared" si="17"/>
        <v>-0.40446338143911886</v>
      </c>
      <c r="N122" s="38">
        <f t="shared" si="18"/>
        <v>-22220586</v>
      </c>
      <c r="O122" s="39" t="str">
        <f t="shared" si="19"/>
        <v/>
      </c>
      <c r="P122" s="38">
        <f>IFERROR(INDEX('Prior YTD Data Pull'!$A$2:$CB$605,MATCH('Prior YTD Data Table'!$C122,'Prior YTD Data Pull'!$A$2:$A$605,0),MATCH("Total Net Assets or Equity",'Prior YTD Data Pull'!$A$1:$CB$1,0)),"")</f>
        <v>0</v>
      </c>
      <c r="Q122" s="38">
        <f>IFERROR(INDEX('Prior YTD Data Pull'!$A$2:$CB$605,MATCH('Prior YTD Data Table'!$C122,'Prior YTD Data Pull'!$A$2:$A$605,0),MATCH("Total Operating Revenue",'Prior YTD Data Pull'!$A$1:$CB$1,0)),"")</f>
        <v>54938437</v>
      </c>
      <c r="R122" s="38">
        <f>IFERROR(INDEX('Prior YTD Data Pull'!$A$2:$CB$605,MATCH('Prior YTD Data Table'!$C122,'Prior YTD Data Pull'!$A$2:$A$605,0),MATCH("Total Unrestricted Revenue Gains and Other Support",'Prior YTD Data Pull'!$A$1:$CB$1,0)),"")</f>
        <v>54938437</v>
      </c>
      <c r="S122" s="38">
        <f>IFERROR(INDEX('Prior YTD TS Data Pull'!$J$2:$J$128,MATCH('Prior YTD Data Table'!$C122, 'Prior YTD TS Data Pull'!$A$2:$A$128,0))+INDEX('Prior YTD TS Data Pull'!$N$2:$N$128,MATCH('Prior YTD Data Table'!$C122,'Prior YTD TS Data Pull'!$A$2:$A$609,0))+INDEX('Prior YTD TS Data Pull'!$R$2:$R$128,MATCH('Prior YTD Data Table'!$C122,'Prior YTD TS Data Pull'!$A$2:$A$609,0)),"")</f>
        <v>209988.75</v>
      </c>
      <c r="T122" s="38">
        <f>IF(INDEX('Prior YTD TS Data Pull'!$A$1:$O$609,MATCH('Prior YTD Data Table'!$C122,'Prior YTD TS Data Pull'!$A$1:$A$609,0),MATCH("Temporary RN Staffing:
Line Reported on in Standardized Financials",'Prior YTD TS Data Pull'!$A$1:$O$1,0))="66.1: Salary and Benefit Expense",'Prior YTD Data Table'!$AV122-'Prior YTD Data Table'!$S122,0)</f>
        <v>59518164.25</v>
      </c>
      <c r="U122" s="38">
        <f>IFERROR(INDEX('Prior YTD Data Pull'!$A$2:$CB$605,MATCH('Prior YTD Data Table'!$C122,'Prior YTD Data Pull'!$A$2:$A$605,0),MATCH("Total Expenses Including Nonrecurring Gains Losses",'Prior YTD Data Pull'!$A$1:$CB$1,0)),"")</f>
        <v>77159023</v>
      </c>
      <c r="V122" s="41">
        <f t="shared" si="20"/>
        <v>0</v>
      </c>
      <c r="W122" s="41">
        <f t="shared" si="21"/>
        <v>0</v>
      </c>
      <c r="X122" s="41">
        <f t="shared" si="13"/>
        <v>0</v>
      </c>
      <c r="Y122" s="37" t="str">
        <f t="shared" si="22"/>
        <v/>
      </c>
      <c r="Z122" s="41">
        <f t="shared" si="14"/>
        <v>0</v>
      </c>
      <c r="AA122" s="39" t="str">
        <f t="shared" si="23"/>
        <v/>
      </c>
      <c r="AB122" s="37" t="str">
        <f t="shared" si="24"/>
        <v/>
      </c>
      <c r="AC122" s="37" t="str">
        <f t="shared" si="25"/>
        <v/>
      </c>
      <c r="AD122" s="38">
        <f>IFERROR(INDEX('Prior YTD Data Pull'!$A$2:$CB$605,MATCH('Prior YTD Data Table'!$C122,'Prior YTD Data Pull'!$A$2:$A$605,0),MATCH("Net Patient Service Revenue",'Prior YTD Data Pull'!$A$1:$CB$1,0)),"")</f>
        <v>54252780</v>
      </c>
      <c r="AE122" s="38">
        <f>IFERROR(INDEX('Prior YTD Data Pull'!$A$2:$CB$605,MATCH('Prior YTD Data Table'!$C122,'Prior YTD Data Pull'!$A$2:$A$605,0),MATCH("Total Current Assets",'Prior YTD Data Pull'!$A$1:$CB$1,0)),"")</f>
        <v>0</v>
      </c>
      <c r="AF122" s="38">
        <f>IFERROR(INDEX('Prior YTD Data Pull'!$A$2:$CB$605,MATCH('Prior YTD Data Table'!$C122,'Prior YTD Data Pull'!$A$2:$A$605,0),MATCH("Total Current Liabilities",'Prior YTD Data Pull'!$A$1:$CB$1,0)),"")</f>
        <v>0</v>
      </c>
      <c r="AG122" s="38">
        <f>IFERROR(INDEX('Prior YTD Data Pull'!$A$2:$CB$605,MATCH('Prior YTD Data Table'!$C122,'Prior YTD Data Pull'!$A$2:$A$605,0),MATCH("Total Non Operating Revenue",'Prior YTD Data Pull'!$A$1:$CB$1,0)),"")</f>
        <v>0</v>
      </c>
      <c r="AH122" s="38">
        <f>IFERROR(INDEX('Prior YTD Data Pull'!$A$2:$CB$605,MATCH('Prior YTD Data Table'!$C122,'Prior Year Data Pull'!$A$2:$A$593,0),MATCH("Less Accumulated Depreciation",'Prior YTD Data Pull'!$A$1:$CB$1,0)),"")</f>
        <v>0</v>
      </c>
      <c r="AI122" s="38">
        <f>IFERROR(INDEX('Prior YTD Data Pull'!$A$2:$CB$605,MATCH('Prior YTD Data Table'!$C122,'Prior YTD Data Pull'!$A$2:$A$605,0),MATCH("Depreciation and Amortization Expense",'Prior YTD Data Pull'!$A$1:$CB$1,0)),"")</f>
        <v>252265</v>
      </c>
      <c r="AJ122" s="38">
        <f>IFERROR(INDEX('Prior YTD Data Pull'!$A$2:$CB$605,MATCH('Prior YTD Data Table'!$C122,'Prior YTD Data Pull'!$A$2:$A$605,0),MATCH("Net Patient Accounts Receivable",'Prior YTD Data Pull'!$A$1:$CB$1,0)),"")</f>
        <v>0</v>
      </c>
      <c r="AK122" s="14" t="str">
        <f>IF('Prior YTD Data Pull'!$H121 = 6, "183", IF('Prior YTD Data Pull'!$H121 = 3, "93",""))</f>
        <v>183</v>
      </c>
      <c r="AL122" s="38">
        <f>IFERROR(INDEX('Prior YTD Data Pull'!$A$2:$CB$605,MATCH('Prior YTD Data Table'!$C122,'Prior YTD Data Pull'!$A$2:$A$605,0),MATCH("Estimated Third Party Settlements",'Prior YTD Data Pull'!$A$1:$CB$1,0)),"")</f>
        <v>0</v>
      </c>
      <c r="AM122" s="38">
        <f>IFERROR(INDEX('Prior YTD Data Pull'!$A$2:$CB$605,MATCH('Prior YTD Data Table'!$C122,'Prior YTD Data Pull'!$A$2:$A$605,0),MATCH("Current Liabilities due to Affiliates",'Prior YTD Data Pull'!$A$1:$CB$1,0)),"")</f>
        <v>0</v>
      </c>
      <c r="AN122" s="38">
        <f>IFERROR(INDEX('Prior YTD Data Pull'!$A$2:$CB$605,MATCH('Prior YTD Data Table'!$C122,'Prior YTD Data Pull'!$A$2:$A$605,0),MATCH("Short Term Investments",'Prior YTD Data Pull'!$A$1:$CB$1,0)),"")</f>
        <v>0</v>
      </c>
      <c r="AO122" s="38">
        <f>IFERROR(INDEX('Prior YTD Data Pull'!$A$2:$CB$605,MATCH('Prior YTD Data Table'!$C122,'Prior YTD Data Pull'!$A$2:$A$605,0),MATCH("Cash and Cash Equivalents",'Prior YTD Data Pull'!$A$1:$CB$1,0)),"")</f>
        <v>0</v>
      </c>
      <c r="AP122" s="38">
        <f>IFERROR(INDEX('Prior YTD Data Pull'!$A$2:$CB$605,MATCH('Prior YTD Data Table'!$C122,'Prior YTD Data Pull'!$A$2:$A$605,0),MATCH("Interest Expense",'Prior YTD Data Pull'!$A$1:$CB$1,0)),"")</f>
        <v>0</v>
      </c>
      <c r="AQ122" s="38">
        <f>IFERROR(INDEX('Prior YTD Data Pull'!$A$2:$CB$605,MATCH('Prior YTD Data Table'!$C122,'Prior YTD Data Pull'!$A$2:$A$605,0),MATCH("Long Term Debt Net of Current Portion",'Prior YTD Data Pull'!$A$1:$CB$1,0)),"")</f>
        <v>0</v>
      </c>
      <c r="AR122" s="38">
        <f>IFERROR(INDEX('Prior YTD Data Pull'!$A$2:$CB$605,MATCH('Prior YTD Data Table'!$C122,'Prior YTD Data Pull'!$A$2:$A$605,0),MATCH("Total Assets",'Prior YTD Data Pull'!$A$1:$CB$1,0)),"")</f>
        <v>0</v>
      </c>
      <c r="AS122" s="38">
        <f>IFERROR(INDEX('Prior YTD Data Pull'!$A$2:$CB$605,MATCH('Prior YTD Data Table'!$C122,'Prior YTD Data Pull'!$A$2:$A$605,0),MATCH("Long Term Debt Net of Current Portion",'Prior YTD Data Pull'!$A$1:$CB$1,0)),"")</f>
        <v>0</v>
      </c>
      <c r="AT122" s="38">
        <f>IFERROR(INDEX('Prior YTD Data Pull'!$A$2:$CB$605,MATCH('Prior YTD Data Table'!$C122,'Prior YTD Data Pull'!$A$2:$A$605,0),MATCH("Net Unrestricted Assets",'Prior YTD Data Pull'!$A$1:$CB$1,0)),"")</f>
        <v>0</v>
      </c>
      <c r="AU122" s="38">
        <f>IFERROR(INDEX('Prior YTD Data Pull'!$A$2:$CB$605,MATCH('Prior YTD Data Table'!$C122,'Prior YTD Data Pull'!$A$2:$A$605,0),MATCH("Unrealized Gains/Losses",'Prior YTD Data Pull'!$A$1:$CB$1,0)),"")</f>
        <v>0</v>
      </c>
      <c r="AV122" s="38">
        <f>IFERROR(INDEX('Prior YTD Data Pull'!$A$2:$CB$605,MATCH('Prior YTD Data Table'!$C122,'Prior YTD Data Pull'!$A$2:$A$605,0),MATCH("Salary and Benefit Expense",'Prior YTD Data Pull'!$A$1:$CB$1,0)),"")</f>
        <v>59728153</v>
      </c>
      <c r="AW122" s="47"/>
      <c r="AX122" s="47"/>
      <c r="AY122" s="47"/>
      <c r="AZ122" s="47"/>
    </row>
    <row r="123" spans="1:52" ht="34.200000000000003" x14ac:dyDescent="0.3">
      <c r="A123" s="14" t="str">
        <f>IFERROR(INDEX('Static Data Tab'!$N$2:$N$610,MATCH(D123,'Static Data Tab'!$D$2:$D$610,0)), "")</f>
        <v>Trinity Health</v>
      </c>
      <c r="B123" s="57" t="s">
        <v>186</v>
      </c>
      <c r="C123" s="57">
        <v>14424</v>
      </c>
      <c r="D123" s="57">
        <v>14288</v>
      </c>
      <c r="E123" s="14" t="str">
        <f>IFERROR(INDEX('Prior YTD Data Pull'!$A$1:$CB$605,MATCH('Prior YTD Data Table'!$C123,'Prior YTD Data Pull'!$A$1:$A$605,0),MATCH("Organization Type",'Prior YTD Data Pull'!$A$1:$CB$1,0)),"")</f>
        <v>PhysicianOrganization</v>
      </c>
      <c r="F123" s="14" t="str">
        <f>IFERROR(INDEX('Static Data Tab'!$E$2:$E$610,MATCH('Prior YTD Data Table'!$C123,'Static Data Tab'!$B$2:$B$610,0)), "-")</f>
        <v>-</v>
      </c>
      <c r="G123" s="46" t="str">
        <f>IFERROR(INDEX('Static Data Tab'!$J$2:$J$610,MATCH('Prior YTD Data Table'!$C123,'Static Data Tab'!$B$2:$B$610,0)), "")</f>
        <v/>
      </c>
      <c r="H123" s="14" t="str">
        <f>IFERROR(INDEX('Static Data Tab'!$F$2:$F$610,MATCH('Prior YTD Data Table'!$C123,'Static Data Tab'!$B$2:$B$610,0)), "")</f>
        <v/>
      </c>
      <c r="I123" s="14" t="str">
        <f>IFERROR(INDEX('Static Data Tab'!$G$2:$G$610,MATCH('Prior YTD Data Table'!$C123,'Static Data Tab'!$B$2:$B$610,0)), "")</f>
        <v/>
      </c>
      <c r="J123" s="14" t="str">
        <f>IFERROR(INDEX('Prior YTD Data Pull'!$A$2:$CB$605,MATCH('Prior YTD Data Table'!$C123,'Prior YTD Data Pull'!$A$2:$A$605,0),MATCH("Quarter Range",'Prior YTD Data Pull'!$A$1:$CB$1,0)),"")</f>
        <v xml:space="preserve">07/01/2024-03/31/2025
</v>
      </c>
      <c r="K123" s="37">
        <f t="shared" si="15"/>
        <v>-1.2435078121524286</v>
      </c>
      <c r="L123" s="37">
        <f t="shared" si="16"/>
        <v>0</v>
      </c>
      <c r="M123" s="37">
        <f t="shared" si="17"/>
        <v>-1.2435078121524286</v>
      </c>
      <c r="N123" s="38">
        <f t="shared" si="18"/>
        <v>-4332375</v>
      </c>
      <c r="O123" s="39" t="str">
        <f t="shared" si="19"/>
        <v/>
      </c>
      <c r="P123" s="38">
        <f>IFERROR(INDEX('Prior YTD Data Pull'!$A$2:$CB$605,MATCH('Prior YTD Data Table'!$C123,'Prior YTD Data Pull'!$A$2:$A$605,0),MATCH("Total Net Assets or Equity",'Prior YTD Data Pull'!$A$1:$CB$1,0)),"")</f>
        <v>0</v>
      </c>
      <c r="Q123" s="38">
        <f>IFERROR(INDEX('Prior YTD Data Pull'!$A$2:$CB$605,MATCH('Prior YTD Data Table'!$C123,'Prior YTD Data Pull'!$A$2:$A$605,0),MATCH("Total Operating Revenue",'Prior YTD Data Pull'!$A$1:$CB$1,0)),"")</f>
        <v>3483995</v>
      </c>
      <c r="R123" s="38">
        <f>IFERROR(INDEX('Prior YTD Data Pull'!$A$2:$CB$605,MATCH('Prior YTD Data Table'!$C123,'Prior YTD Data Pull'!$A$2:$A$605,0),MATCH("Total Unrestricted Revenue Gains and Other Support",'Prior YTD Data Pull'!$A$1:$CB$1,0)),"")</f>
        <v>3483995</v>
      </c>
      <c r="S123" s="38">
        <f>IFERROR(INDEX('Prior YTD TS Data Pull'!$J$2:$J$128,MATCH('Prior YTD Data Table'!$C123, 'Prior YTD TS Data Pull'!$A$2:$A$128,0))+INDEX('Prior YTD TS Data Pull'!$N$2:$N$128,MATCH('Prior YTD Data Table'!$C123,'Prior YTD TS Data Pull'!$A$2:$A$609,0))+INDEX('Prior YTD TS Data Pull'!$R$2:$R$128,MATCH('Prior YTD Data Table'!$C123,'Prior YTD TS Data Pull'!$A$2:$A$609,0)),"")</f>
        <v>446449</v>
      </c>
      <c r="T123" s="38">
        <f>IF(INDEX('Prior YTD TS Data Pull'!$A$1:$O$609,MATCH('Prior YTD Data Table'!$C123,'Prior YTD TS Data Pull'!$A$1:$A$609,0),MATCH("Temporary RN Staffing:
Line Reported on in Standardized Financials",'Prior YTD TS Data Pull'!$A$1:$O$1,0))="66.1: Salary and Benefit Expense",'Prior YTD Data Table'!$AV123-'Prior YTD Data Table'!$S123,0)</f>
        <v>0</v>
      </c>
      <c r="U123" s="38">
        <f>IFERROR(INDEX('Prior YTD Data Pull'!$A$2:$CB$605,MATCH('Prior YTD Data Table'!$C123,'Prior YTD Data Pull'!$A$2:$A$605,0),MATCH("Total Expenses Including Nonrecurring Gains Losses",'Prior YTD Data Pull'!$A$1:$CB$1,0)),"")</f>
        <v>7816370</v>
      </c>
      <c r="V123" s="41">
        <f t="shared" si="20"/>
        <v>0</v>
      </c>
      <c r="W123" s="41" t="str">
        <f t="shared" si="21"/>
        <v/>
      </c>
      <c r="X123" s="41" t="str">
        <f t="shared" si="13"/>
        <v/>
      </c>
      <c r="Y123" s="37" t="str">
        <f t="shared" si="22"/>
        <v/>
      </c>
      <c r="Z123" s="41" t="str">
        <f t="shared" si="14"/>
        <v/>
      </c>
      <c r="AA123" s="39">
        <f t="shared" si="23"/>
        <v>17877.315352697096</v>
      </c>
      <c r="AB123" s="37" t="str">
        <f t="shared" si="24"/>
        <v/>
      </c>
      <c r="AC123" s="37" t="str">
        <f t="shared" si="25"/>
        <v/>
      </c>
      <c r="AD123" s="38">
        <f>IFERROR(INDEX('Prior YTD Data Pull'!$A$2:$CB$605,MATCH('Prior YTD Data Table'!$C123,'Prior YTD Data Pull'!$A$2:$A$605,0),MATCH("Net Patient Service Revenue",'Prior YTD Data Pull'!$A$1:$CB$1,0)),"")</f>
        <v>2352534</v>
      </c>
      <c r="AE123" s="38">
        <f>IFERROR(INDEX('Prior YTD Data Pull'!$A$2:$CB$605,MATCH('Prior YTD Data Table'!$C123,'Prior YTD Data Pull'!$A$2:$A$605,0),MATCH("Total Current Assets",'Prior YTD Data Pull'!$A$1:$CB$1,0)),"")</f>
        <v>0</v>
      </c>
      <c r="AF123" s="38">
        <f>IFERROR(INDEX('Prior YTD Data Pull'!$A$2:$CB$605,MATCH('Prior YTD Data Table'!$C123,'Prior YTD Data Pull'!$A$2:$A$605,0),MATCH("Total Current Liabilities",'Prior YTD Data Pull'!$A$1:$CB$1,0)),"")</f>
        <v>0</v>
      </c>
      <c r="AG123" s="38">
        <f>IFERROR(INDEX('Prior YTD Data Pull'!$A$2:$CB$605,MATCH('Prior YTD Data Table'!$C123,'Prior YTD Data Pull'!$A$2:$A$605,0),MATCH("Total Non Operating Revenue",'Prior YTD Data Pull'!$A$1:$CB$1,0)),"")</f>
        <v>0</v>
      </c>
      <c r="AH123" s="38">
        <f>IFERROR(INDEX('Prior YTD Data Pull'!$A$2:$CB$605,MATCH('Prior YTD Data Table'!$C123,'Prior Year Data Pull'!$A$2:$A$593,0),MATCH("Less Accumulated Depreciation",'Prior YTD Data Pull'!$A$1:$CB$1,0)),"")</f>
        <v>0</v>
      </c>
      <c r="AI123" s="38">
        <f>IFERROR(INDEX('Prior YTD Data Pull'!$A$2:$CB$605,MATCH('Prior YTD Data Table'!$C123,'Prior YTD Data Pull'!$A$2:$A$605,0),MATCH("Depreciation and Amortization Expense",'Prior YTD Data Pull'!$A$1:$CB$1,0)),"")</f>
        <v>24183</v>
      </c>
      <c r="AJ123" s="38">
        <f>IFERROR(INDEX('Prior YTD Data Pull'!$A$2:$CB$605,MATCH('Prior YTD Data Table'!$C123,'Prior YTD Data Pull'!$A$2:$A$605,0),MATCH("Net Patient Accounts Receivable",'Prior YTD Data Pull'!$A$1:$CB$1,0)),"")</f>
        <v>0</v>
      </c>
      <c r="AK123" s="14" t="str">
        <f>IF('Prior YTD Data Pull'!$H122 = 6, "183", IF('Prior YTD Data Pull'!$H122 = 3, "93",""))</f>
        <v/>
      </c>
      <c r="AL123" s="38">
        <f>IFERROR(INDEX('Prior YTD Data Pull'!$A$2:$CB$605,MATCH('Prior YTD Data Table'!$C123,'Prior YTD Data Pull'!$A$2:$A$605,0),MATCH("Estimated Third Party Settlements",'Prior YTD Data Pull'!$A$1:$CB$1,0)),"")</f>
        <v>0</v>
      </c>
      <c r="AM123" s="38">
        <f>IFERROR(INDEX('Prior YTD Data Pull'!$A$2:$CB$605,MATCH('Prior YTD Data Table'!$C123,'Prior YTD Data Pull'!$A$2:$A$605,0),MATCH("Current Liabilities due to Affiliates",'Prior YTD Data Pull'!$A$1:$CB$1,0)),"")</f>
        <v>0</v>
      </c>
      <c r="AN123" s="38">
        <f>IFERROR(INDEX('Prior YTD Data Pull'!$A$2:$CB$605,MATCH('Prior YTD Data Table'!$C123,'Prior YTD Data Pull'!$A$2:$A$605,0),MATCH("Short Term Investments",'Prior YTD Data Pull'!$A$1:$CB$1,0)),"")</f>
        <v>0</v>
      </c>
      <c r="AO123" s="38">
        <f>IFERROR(INDEX('Prior YTD Data Pull'!$A$2:$CB$605,MATCH('Prior YTD Data Table'!$C123,'Prior YTD Data Pull'!$A$2:$A$605,0),MATCH("Cash and Cash Equivalents",'Prior YTD Data Pull'!$A$1:$CB$1,0)),"")</f>
        <v>0</v>
      </c>
      <c r="AP123" s="38">
        <f>IFERROR(INDEX('Prior YTD Data Pull'!$A$2:$CB$605,MATCH('Prior YTD Data Table'!$C123,'Prior YTD Data Pull'!$A$2:$A$605,0),MATCH("Interest Expense",'Prior YTD Data Pull'!$A$1:$CB$1,0)),"")</f>
        <v>-241</v>
      </c>
      <c r="AQ123" s="38">
        <f>IFERROR(INDEX('Prior YTD Data Pull'!$A$2:$CB$605,MATCH('Prior YTD Data Table'!$C123,'Prior YTD Data Pull'!$A$2:$A$605,0),MATCH("Long Term Debt Net of Current Portion",'Prior YTD Data Pull'!$A$1:$CB$1,0)),"")</f>
        <v>0</v>
      </c>
      <c r="AR123" s="38">
        <f>IFERROR(INDEX('Prior YTD Data Pull'!$A$2:$CB$605,MATCH('Prior YTD Data Table'!$C123,'Prior YTD Data Pull'!$A$2:$A$605,0),MATCH("Total Assets",'Prior YTD Data Pull'!$A$1:$CB$1,0)),"")</f>
        <v>0</v>
      </c>
      <c r="AS123" s="38">
        <f>IFERROR(INDEX('Prior YTD Data Pull'!$A$2:$CB$605,MATCH('Prior YTD Data Table'!$C123,'Prior YTD Data Pull'!$A$2:$A$605,0),MATCH("Long Term Debt Net of Current Portion",'Prior YTD Data Pull'!$A$1:$CB$1,0)),"")</f>
        <v>0</v>
      </c>
      <c r="AT123" s="38">
        <f>IFERROR(INDEX('Prior YTD Data Pull'!$A$2:$CB$605,MATCH('Prior YTD Data Table'!$C123,'Prior YTD Data Pull'!$A$2:$A$605,0),MATCH("Net Unrestricted Assets",'Prior YTD Data Pull'!$A$1:$CB$1,0)),"")</f>
        <v>0</v>
      </c>
      <c r="AU123" s="38">
        <f>IFERROR(INDEX('Prior YTD Data Pull'!$A$2:$CB$605,MATCH('Prior YTD Data Table'!$C123,'Prior YTD Data Pull'!$A$2:$A$605,0),MATCH("Unrealized Gains/Losses",'Prior YTD Data Pull'!$A$1:$CB$1,0)),"")</f>
        <v>0</v>
      </c>
      <c r="AV123" s="38">
        <f>IFERROR(INDEX('Prior YTD Data Pull'!$A$2:$CB$605,MATCH('Prior YTD Data Table'!$C123,'Prior YTD Data Pull'!$A$2:$A$605,0),MATCH("Salary and Benefit Expense",'Prior YTD Data Pull'!$A$1:$CB$1,0)),"")</f>
        <v>1350650</v>
      </c>
      <c r="AW123" s="38"/>
      <c r="AX123" s="38"/>
      <c r="AY123" s="38"/>
      <c r="AZ123" s="38"/>
    </row>
    <row r="124" spans="1:52" ht="34.200000000000003" x14ac:dyDescent="0.3">
      <c r="A124" s="14" t="str">
        <f>IFERROR(INDEX('Static Data Tab'!$N$2:$N$610,MATCH(D124,'Static Data Tab'!$D$2:$D$610,0)), "")</f>
        <v>Valley Health System</v>
      </c>
      <c r="B124" s="14" t="s">
        <v>206</v>
      </c>
      <c r="C124" s="14">
        <v>14428</v>
      </c>
      <c r="D124" s="14">
        <v>12767</v>
      </c>
      <c r="E124" s="14" t="str">
        <f>IFERROR(INDEX('Prior YTD Data Pull'!$A$1:$CB$605,MATCH('Prior YTD Data Table'!$C124,'Prior YTD Data Pull'!$A$1:$A$605,0),MATCH("Organization Type",'Prior YTD Data Pull'!$A$1:$CB$1,0)),"")</f>
        <v>PhysicianOrganization</v>
      </c>
      <c r="F124" s="14" t="str">
        <f>IFERROR(INDEX('Static Data Tab'!$E$2:$E$610,MATCH('Prior YTD Data Table'!$C124,'Static Data Tab'!$B$2:$B$610,0)), "-")</f>
        <v>-</v>
      </c>
      <c r="G124" s="46" t="str">
        <f>IFERROR(INDEX('Static Data Tab'!$J$2:$J$610,MATCH('Prior YTD Data Table'!$C124,'Static Data Tab'!$B$2:$B$610,0)), "")</f>
        <v/>
      </c>
      <c r="H124" s="14" t="str">
        <f>IFERROR(INDEX('Static Data Tab'!$F$2:$F$610,MATCH('Prior YTD Data Table'!$C124,'Static Data Tab'!$B$2:$B$610,0)), "")</f>
        <v/>
      </c>
      <c r="I124" s="14" t="str">
        <f>IFERROR(INDEX('Static Data Tab'!$G$2:$G$610,MATCH('Prior YTD Data Table'!$C124,'Static Data Tab'!$B$2:$B$610,0)), "")</f>
        <v/>
      </c>
      <c r="J124" s="14" t="str">
        <f>IFERROR(INDEX('Prior YTD Data Pull'!$A$2:$CB$605,MATCH('Prior YTD Data Table'!$C124,'Prior YTD Data Pull'!$A$2:$A$605,0),MATCH("Quarter Range",'Prior YTD Data Pull'!$A$1:$CB$1,0)),"")</f>
        <v xml:space="preserve">10/01/2024-03/31/2025
</v>
      </c>
      <c r="K124" s="37">
        <f t="shared" si="15"/>
        <v>5.7178049915413358E-2</v>
      </c>
      <c r="L124" s="37">
        <f t="shared" si="16"/>
        <v>0</v>
      </c>
      <c r="M124" s="37">
        <f t="shared" si="17"/>
        <v>5.7178049915413358E-2</v>
      </c>
      <c r="N124" s="38">
        <f t="shared" si="18"/>
        <v>353769</v>
      </c>
      <c r="O124" s="39" t="str">
        <f t="shared" si="19"/>
        <v/>
      </c>
      <c r="P124" s="38">
        <f>IFERROR(INDEX('Prior YTD Data Pull'!$A$2:$CB$605,MATCH('Prior YTD Data Table'!$C124,'Prior YTD Data Pull'!$A$2:$A$605,0),MATCH("Total Net Assets or Equity",'Prior YTD Data Pull'!$A$1:$CB$1,0)),"")</f>
        <v>0</v>
      </c>
      <c r="Q124" s="38">
        <f>IFERROR(INDEX('Prior YTD Data Pull'!$A$2:$CB$605,MATCH('Prior YTD Data Table'!$C124,'Prior YTD Data Pull'!$A$2:$A$605,0),MATCH("Total Operating Revenue",'Prior YTD Data Pull'!$A$1:$CB$1,0)),"")</f>
        <v>6187147</v>
      </c>
      <c r="R124" s="38">
        <f>IFERROR(INDEX('Prior YTD Data Pull'!$A$2:$CB$605,MATCH('Prior YTD Data Table'!$C124,'Prior YTD Data Pull'!$A$2:$A$605,0),MATCH("Total Unrestricted Revenue Gains and Other Support",'Prior YTD Data Pull'!$A$1:$CB$1,0)),"")</f>
        <v>6187147</v>
      </c>
      <c r="S124" s="38">
        <f>IFERROR(INDEX('Prior YTD TS Data Pull'!$J$2:$J$128,MATCH('Prior YTD Data Table'!$C124, 'Prior YTD TS Data Pull'!$A$2:$A$128,0))+INDEX('Prior YTD TS Data Pull'!$N$2:$N$128,MATCH('Prior YTD Data Table'!$C124,'Prior YTD TS Data Pull'!$A$2:$A$609,0))+INDEX('Prior YTD TS Data Pull'!$R$2:$R$128,MATCH('Prior YTD Data Table'!$C124,'Prior YTD TS Data Pull'!$A$2:$A$609,0)),"")</f>
        <v>0</v>
      </c>
      <c r="T124" s="38">
        <f>IF(INDEX('Prior YTD TS Data Pull'!$A$1:$O$609,MATCH('Prior YTD Data Table'!$C124,'Prior YTD TS Data Pull'!$A$1:$A$609,0),MATCH("Temporary RN Staffing:
Line Reported on in Standardized Financials",'Prior YTD TS Data Pull'!$A$1:$O$1,0))="66.1: Salary and Benefit Expense",'Prior YTD Data Table'!$AV124-'Prior YTD Data Table'!$S124,0)</f>
        <v>0</v>
      </c>
      <c r="U124" s="38">
        <f>IFERROR(INDEX('Prior YTD Data Pull'!$A$2:$CB$605,MATCH('Prior YTD Data Table'!$C124,'Prior YTD Data Pull'!$A$2:$A$605,0),MATCH("Total Expenses Including Nonrecurring Gains Losses",'Prior YTD Data Pull'!$A$1:$CB$1,0)),"")</f>
        <v>5833378</v>
      </c>
      <c r="V124" s="41">
        <f t="shared" si="20"/>
        <v>0</v>
      </c>
      <c r="W124" s="41" t="str">
        <f t="shared" si="21"/>
        <v/>
      </c>
      <c r="X124" s="41" t="str">
        <f t="shared" si="13"/>
        <v/>
      </c>
      <c r="Y124" s="37" t="str">
        <f t="shared" si="22"/>
        <v/>
      </c>
      <c r="Z124" s="41" t="str">
        <f t="shared" si="14"/>
        <v/>
      </c>
      <c r="AA124" s="39" t="str">
        <f t="shared" si="23"/>
        <v/>
      </c>
      <c r="AB124" s="37" t="str">
        <f t="shared" si="24"/>
        <v/>
      </c>
      <c r="AC124" s="37" t="str">
        <f t="shared" si="25"/>
        <v/>
      </c>
      <c r="AD124" s="38">
        <f>IFERROR(INDEX('Prior YTD Data Pull'!$A$2:$CB$605,MATCH('Prior YTD Data Table'!$C124,'Prior YTD Data Pull'!$A$2:$A$605,0),MATCH("Net Patient Service Revenue",'Prior YTD Data Pull'!$A$1:$CB$1,0)),"")</f>
        <v>4361924</v>
      </c>
      <c r="AE124" s="38">
        <f>IFERROR(INDEX('Prior YTD Data Pull'!$A$2:$CB$605,MATCH('Prior YTD Data Table'!$C124,'Prior YTD Data Pull'!$A$2:$A$605,0),MATCH("Total Current Assets",'Prior YTD Data Pull'!$A$1:$CB$1,0)),"")</f>
        <v>0</v>
      </c>
      <c r="AF124" s="38">
        <f>IFERROR(INDEX('Prior YTD Data Pull'!$A$2:$CB$605,MATCH('Prior YTD Data Table'!$C124,'Prior YTD Data Pull'!$A$2:$A$605,0),MATCH("Total Current Liabilities",'Prior YTD Data Pull'!$A$1:$CB$1,0)),"")</f>
        <v>0</v>
      </c>
      <c r="AG124" s="38">
        <f>IFERROR(INDEX('Prior YTD Data Pull'!$A$2:$CB$605,MATCH('Prior YTD Data Table'!$C124,'Prior YTD Data Pull'!$A$2:$A$605,0),MATCH("Total Non Operating Revenue",'Prior YTD Data Pull'!$A$1:$CB$1,0)),"")</f>
        <v>0</v>
      </c>
      <c r="AH124" s="38">
        <f>IFERROR(INDEX('Prior YTD Data Pull'!$A$2:$CB$605,MATCH('Prior YTD Data Table'!$C124,'Prior Year Data Pull'!$A$2:$A$593,0),MATCH("Less Accumulated Depreciation",'Prior YTD Data Pull'!$A$1:$CB$1,0)),"")</f>
        <v>0</v>
      </c>
      <c r="AI124" s="38">
        <f>IFERROR(INDEX('Prior YTD Data Pull'!$A$2:$CB$605,MATCH('Prior YTD Data Table'!$C124,'Prior YTD Data Pull'!$A$2:$A$605,0),MATCH("Depreciation and Amortization Expense",'Prior YTD Data Pull'!$A$1:$CB$1,0)),"")</f>
        <v>3427</v>
      </c>
      <c r="AJ124" s="38">
        <f>IFERROR(INDEX('Prior YTD Data Pull'!$A$2:$CB$605,MATCH('Prior YTD Data Table'!$C124,'Prior YTD Data Pull'!$A$2:$A$605,0),MATCH("Net Patient Accounts Receivable",'Prior YTD Data Pull'!$A$1:$CB$1,0)),"")</f>
        <v>0</v>
      </c>
      <c r="AK124" s="14" t="str">
        <f>IF('Prior YTD Data Pull'!$H123 = 6, "183", IF('Prior YTD Data Pull'!$H123 = 3, "93",""))</f>
        <v/>
      </c>
      <c r="AL124" s="38">
        <f>IFERROR(INDEX('Prior YTD Data Pull'!$A$2:$CB$605,MATCH('Prior YTD Data Table'!$C124,'Prior YTD Data Pull'!$A$2:$A$605,0),MATCH("Estimated Third Party Settlements",'Prior YTD Data Pull'!$A$1:$CB$1,0)),"")</f>
        <v>0</v>
      </c>
      <c r="AM124" s="38">
        <f>IFERROR(INDEX('Prior YTD Data Pull'!$A$2:$CB$605,MATCH('Prior YTD Data Table'!$C124,'Prior YTD Data Pull'!$A$2:$A$605,0),MATCH("Current Liabilities due to Affiliates",'Prior YTD Data Pull'!$A$1:$CB$1,0)),"")</f>
        <v>0</v>
      </c>
      <c r="AN124" s="38">
        <f>IFERROR(INDEX('Prior YTD Data Pull'!$A$2:$CB$605,MATCH('Prior YTD Data Table'!$C124,'Prior YTD Data Pull'!$A$2:$A$605,0),MATCH("Short Term Investments",'Prior YTD Data Pull'!$A$1:$CB$1,0)),"")</f>
        <v>0</v>
      </c>
      <c r="AO124" s="38">
        <f>IFERROR(INDEX('Prior YTD Data Pull'!$A$2:$CB$605,MATCH('Prior YTD Data Table'!$C124,'Prior YTD Data Pull'!$A$2:$A$605,0),MATCH("Cash and Cash Equivalents",'Prior YTD Data Pull'!$A$1:$CB$1,0)),"")</f>
        <v>0</v>
      </c>
      <c r="AP124" s="38">
        <f>IFERROR(INDEX('Prior YTD Data Pull'!$A$2:$CB$605,MATCH('Prior YTD Data Table'!$C124,'Prior YTD Data Pull'!$A$2:$A$605,0),MATCH("Interest Expense",'Prior YTD Data Pull'!$A$1:$CB$1,0)),"")</f>
        <v>0</v>
      </c>
      <c r="AQ124" s="38">
        <f>IFERROR(INDEX('Prior YTD Data Pull'!$A$2:$CB$605,MATCH('Prior YTD Data Table'!$C124,'Prior YTD Data Pull'!$A$2:$A$605,0),MATCH("Long Term Debt Net of Current Portion",'Prior YTD Data Pull'!$A$1:$CB$1,0)),"")</f>
        <v>0</v>
      </c>
      <c r="AR124" s="38">
        <f>IFERROR(INDEX('Prior YTD Data Pull'!$A$2:$CB$605,MATCH('Prior YTD Data Table'!$C124,'Prior YTD Data Pull'!$A$2:$A$605,0),MATCH("Total Assets",'Prior YTD Data Pull'!$A$1:$CB$1,0)),"")</f>
        <v>0</v>
      </c>
      <c r="AS124" s="38">
        <f>IFERROR(INDEX('Prior YTD Data Pull'!$A$2:$CB$605,MATCH('Prior YTD Data Table'!$C124,'Prior YTD Data Pull'!$A$2:$A$605,0),MATCH("Long Term Debt Net of Current Portion",'Prior YTD Data Pull'!$A$1:$CB$1,0)),"")</f>
        <v>0</v>
      </c>
      <c r="AT124" s="38">
        <f>IFERROR(INDEX('Prior YTD Data Pull'!$A$2:$CB$605,MATCH('Prior YTD Data Table'!$C124,'Prior YTD Data Pull'!$A$2:$A$605,0),MATCH("Net Unrestricted Assets",'Prior YTD Data Pull'!$A$1:$CB$1,0)),"")</f>
        <v>0</v>
      </c>
      <c r="AU124" s="38">
        <f>IFERROR(INDEX('Prior YTD Data Pull'!$A$2:$CB$605,MATCH('Prior YTD Data Table'!$C124,'Prior YTD Data Pull'!$A$2:$A$605,0),MATCH("Unrealized Gains/Losses",'Prior YTD Data Pull'!$A$1:$CB$1,0)),"")</f>
        <v>0</v>
      </c>
      <c r="AV124" s="38">
        <f>IFERROR(INDEX('Prior YTD Data Pull'!$A$2:$CB$605,MATCH('Prior YTD Data Table'!$C124,'Prior YTD Data Pull'!$A$2:$A$605,0),MATCH("Salary and Benefit Expense",'Prior YTD Data Pull'!$A$1:$CB$1,0)),"")</f>
        <v>4931476</v>
      </c>
      <c r="AW124" s="47"/>
      <c r="AX124" s="47"/>
      <c r="AY124" s="47"/>
      <c r="AZ124" s="47"/>
    </row>
    <row r="125" spans="1:52" ht="34.200000000000003" x14ac:dyDescent="0.3">
      <c r="A125" s="14" t="str">
        <f>IFERROR(INDEX('Static Data Tab'!$N$2:$N$610,MATCH(D125,'Static Data Tab'!$D$2:$D$610,0)), "")</f>
        <v>UMass Memorial Health Care</v>
      </c>
      <c r="B125" s="57" t="s">
        <v>161</v>
      </c>
      <c r="C125" s="57">
        <v>8750</v>
      </c>
      <c r="D125" s="57">
        <v>6755</v>
      </c>
      <c r="E125" s="14" t="str">
        <f>IFERROR(INDEX('Prior YTD Data Pull'!$A$1:$CB$605,MATCH('Prior YTD Data Table'!$C125,'Prior YTD Data Pull'!$A$1:$A$605,0),MATCH("Organization Type",'Prior YTD Data Pull'!$A$1:$CB$1,0)),"")</f>
        <v>PhysicianOrganization</v>
      </c>
      <c r="F125" s="14" t="str">
        <f>IFERROR(INDEX('Static Data Tab'!$E$2:$E$610,MATCH('Prior YTD Data Table'!$C125,'Static Data Tab'!$B$2:$B$610,0)), "-")</f>
        <v>-</v>
      </c>
      <c r="G125" s="46" t="str">
        <f>IFERROR(INDEX('Static Data Tab'!$J$2:$J$610,MATCH('Prior YTD Data Table'!$C125,'Static Data Tab'!$B$2:$B$610,0)), "")</f>
        <v/>
      </c>
      <c r="H125" s="14" t="str">
        <f>IFERROR(INDEX('Static Data Tab'!$F$2:$F$610,MATCH('Prior YTD Data Table'!$C125,'Static Data Tab'!$B$2:$B$610,0)), "")</f>
        <v/>
      </c>
      <c r="I125" s="14" t="str">
        <f>IFERROR(INDEX('Static Data Tab'!$G$2:$G$610,MATCH('Prior YTD Data Table'!$C125,'Static Data Tab'!$B$2:$B$610,0)), "")</f>
        <v/>
      </c>
      <c r="J125" s="14" t="str">
        <f>IFERROR(INDEX('Prior YTD Data Pull'!$A$2:$CB$605,MATCH('Prior YTD Data Table'!$C125,'Prior YTD Data Pull'!$A$2:$A$605,0),MATCH("Quarter Range",'Prior YTD Data Pull'!$A$1:$CB$1,0)),"")</f>
        <v xml:space="preserve">10/01/2024-03/31/2025
</v>
      </c>
      <c r="K125" s="37">
        <f t="shared" si="15"/>
        <v>-6.7487603305785127E-2</v>
      </c>
      <c r="L125" s="37">
        <f t="shared" si="16"/>
        <v>-6.6115702479338845E-5</v>
      </c>
      <c r="M125" s="37">
        <f t="shared" si="17"/>
        <v>-6.7553719008264457E-2</v>
      </c>
      <c r="N125" s="38">
        <f t="shared" si="18"/>
        <v>-4087000</v>
      </c>
      <c r="O125" s="39" t="str">
        <f t="shared" si="19"/>
        <v/>
      </c>
      <c r="P125" s="38">
        <f>IFERROR(INDEX('Prior YTD Data Pull'!$A$2:$CB$605,MATCH('Prior YTD Data Table'!$C125,'Prior YTD Data Pull'!$A$2:$A$605,0),MATCH("Total Net Assets or Equity",'Prior YTD Data Pull'!$A$1:$CB$1,0)),"")</f>
        <v>0</v>
      </c>
      <c r="Q125" s="38">
        <f>IFERROR(INDEX('Prior YTD Data Pull'!$A$2:$CB$605,MATCH('Prior YTD Data Table'!$C125,'Prior YTD Data Pull'!$A$2:$A$605,0),MATCH("Total Operating Revenue",'Prior YTD Data Pull'!$A$1:$CB$1,0)),"")</f>
        <v>60504000</v>
      </c>
      <c r="R125" s="38">
        <f>IFERROR(INDEX('Prior YTD Data Pull'!$A$2:$CB$605,MATCH('Prior YTD Data Table'!$C125,'Prior YTD Data Pull'!$A$2:$A$605,0),MATCH("Total Unrestricted Revenue Gains and Other Support",'Prior YTD Data Pull'!$A$1:$CB$1,0)),"")</f>
        <v>60500000</v>
      </c>
      <c r="S125" s="38">
        <f>IFERROR(INDEX('Prior YTD TS Data Pull'!$J$2:$J$128,MATCH('Prior YTD Data Table'!$C125, 'Prior YTD TS Data Pull'!$A$2:$A$128,0))+INDEX('Prior YTD TS Data Pull'!$N$2:$N$128,MATCH('Prior YTD Data Table'!$C125,'Prior YTD TS Data Pull'!$A$2:$A$609,0))+INDEX('Prior YTD TS Data Pull'!$R$2:$R$128,MATCH('Prior YTD Data Table'!$C125,'Prior YTD TS Data Pull'!$A$2:$A$609,0)),"")</f>
        <v>62560</v>
      </c>
      <c r="T125" s="38">
        <f>IF(INDEX('Prior YTD TS Data Pull'!$A$1:$O$609,MATCH('Prior YTD Data Table'!$C125,'Prior YTD TS Data Pull'!$A$1:$A$609,0),MATCH("Temporary RN Staffing:
Line Reported on in Standardized Financials",'Prior YTD TS Data Pull'!$A$1:$O$1,0))="66.1: Salary and Benefit Expense",'Prior YTD Data Table'!$AV125-'Prior YTD Data Table'!$S125,0)</f>
        <v>0</v>
      </c>
      <c r="U125" s="38">
        <f>IFERROR(INDEX('Prior YTD Data Pull'!$A$2:$CB$605,MATCH('Prior YTD Data Table'!$C125,'Prior YTD Data Pull'!$A$2:$A$605,0),MATCH("Total Expenses Including Nonrecurring Gains Losses",'Prior YTD Data Pull'!$A$1:$CB$1,0)),"")</f>
        <v>64587000</v>
      </c>
      <c r="V125" s="41">
        <f t="shared" si="20"/>
        <v>0</v>
      </c>
      <c r="W125" s="41">
        <f t="shared" si="21"/>
        <v>0</v>
      </c>
      <c r="X125" s="41">
        <f t="shared" si="13"/>
        <v>0</v>
      </c>
      <c r="Y125" s="37" t="str">
        <f t="shared" si="22"/>
        <v/>
      </c>
      <c r="Z125" s="41">
        <f t="shared" si="14"/>
        <v>0</v>
      </c>
      <c r="AA125" s="39">
        <f t="shared" si="23"/>
        <v>-12.291512915129152</v>
      </c>
      <c r="AB125" s="37" t="str">
        <f t="shared" si="24"/>
        <v/>
      </c>
      <c r="AC125" s="37" t="str">
        <f t="shared" si="25"/>
        <v/>
      </c>
      <c r="AD125" s="38">
        <f>IFERROR(INDEX('Prior YTD Data Pull'!$A$2:$CB$605,MATCH('Prior YTD Data Table'!$C125,'Prior YTD Data Pull'!$A$2:$A$605,0),MATCH("Net Patient Service Revenue",'Prior YTD Data Pull'!$A$1:$CB$1,0)),"")</f>
        <v>51937000</v>
      </c>
      <c r="AE125" s="38">
        <f>IFERROR(INDEX('Prior YTD Data Pull'!$A$2:$CB$605,MATCH('Prior YTD Data Table'!$C125,'Prior YTD Data Pull'!$A$2:$A$605,0),MATCH("Total Current Assets",'Prior YTD Data Pull'!$A$1:$CB$1,0)),"")</f>
        <v>0</v>
      </c>
      <c r="AF125" s="38">
        <f>IFERROR(INDEX('Prior YTD Data Pull'!$A$2:$CB$605,MATCH('Prior YTD Data Table'!$C125,'Prior YTD Data Pull'!$A$2:$A$605,0),MATCH("Total Current Liabilities",'Prior YTD Data Pull'!$A$1:$CB$1,0)),"")</f>
        <v>0</v>
      </c>
      <c r="AG125" s="38">
        <f>IFERROR(INDEX('Prior YTD Data Pull'!$A$2:$CB$605,MATCH('Prior YTD Data Table'!$C125,'Prior YTD Data Pull'!$A$2:$A$605,0),MATCH("Total Non Operating Revenue",'Prior YTD Data Pull'!$A$1:$CB$1,0)),"")</f>
        <v>-4000</v>
      </c>
      <c r="AH125" s="38">
        <f>IFERROR(INDEX('Prior YTD Data Pull'!$A$2:$CB$605,MATCH('Prior YTD Data Table'!$C125,'Prior Year Data Pull'!$A$2:$A$593,0),MATCH("Less Accumulated Depreciation",'Prior YTD Data Pull'!$A$1:$CB$1,0)),"")</f>
        <v>0</v>
      </c>
      <c r="AI125" s="38">
        <f>IFERROR(INDEX('Prior YTD Data Pull'!$A$2:$CB$605,MATCH('Prior YTD Data Table'!$C125,'Prior YTD Data Pull'!$A$2:$A$605,0),MATCH("Depreciation and Amortization Expense",'Prior YTD Data Pull'!$A$1:$CB$1,0)),"")</f>
        <v>485000</v>
      </c>
      <c r="AJ125" s="38">
        <f>IFERROR(INDEX('Prior YTD Data Pull'!$A$2:$CB$605,MATCH('Prior YTD Data Table'!$C125,'Prior YTD Data Pull'!$A$2:$A$605,0),MATCH("Net Patient Accounts Receivable",'Prior YTD Data Pull'!$A$1:$CB$1,0)),"")</f>
        <v>0</v>
      </c>
      <c r="AK125" s="14" t="str">
        <f>IF('Prior YTD Data Pull'!$H124 = 6, "183", IF('Prior YTD Data Pull'!$H124 = 3, "93",""))</f>
        <v>183</v>
      </c>
      <c r="AL125" s="38">
        <f>IFERROR(INDEX('Prior YTD Data Pull'!$A$2:$CB$605,MATCH('Prior YTD Data Table'!$C125,'Prior YTD Data Pull'!$A$2:$A$605,0),MATCH("Estimated Third Party Settlements",'Prior YTD Data Pull'!$A$1:$CB$1,0)),"")</f>
        <v>0</v>
      </c>
      <c r="AM125" s="38">
        <f>IFERROR(INDEX('Prior YTD Data Pull'!$A$2:$CB$605,MATCH('Prior YTD Data Table'!$C125,'Prior YTD Data Pull'!$A$2:$A$605,0),MATCH("Current Liabilities due to Affiliates",'Prior YTD Data Pull'!$A$1:$CB$1,0)),"")</f>
        <v>0</v>
      </c>
      <c r="AN125" s="38">
        <f>IFERROR(INDEX('Prior YTD Data Pull'!$A$2:$CB$605,MATCH('Prior YTD Data Table'!$C125,'Prior YTD Data Pull'!$A$2:$A$605,0),MATCH("Short Term Investments",'Prior YTD Data Pull'!$A$1:$CB$1,0)),"")</f>
        <v>0</v>
      </c>
      <c r="AO125" s="38">
        <f>IFERROR(INDEX('Prior YTD Data Pull'!$A$2:$CB$605,MATCH('Prior YTD Data Table'!$C125,'Prior YTD Data Pull'!$A$2:$A$605,0),MATCH("Cash and Cash Equivalents",'Prior YTD Data Pull'!$A$1:$CB$1,0)),"")</f>
        <v>0</v>
      </c>
      <c r="AP125" s="38">
        <f>IFERROR(INDEX('Prior YTD Data Pull'!$A$2:$CB$605,MATCH('Prior YTD Data Table'!$C125,'Prior YTD Data Pull'!$A$2:$A$605,0),MATCH("Interest Expense",'Prior YTD Data Pull'!$A$1:$CB$1,0)),"")</f>
        <v>271000</v>
      </c>
      <c r="AQ125" s="38">
        <f>IFERROR(INDEX('Prior YTD Data Pull'!$A$2:$CB$605,MATCH('Prior YTD Data Table'!$C125,'Prior YTD Data Pull'!$A$2:$A$605,0),MATCH("Long Term Debt Net of Current Portion",'Prior YTD Data Pull'!$A$1:$CB$1,0)),"")</f>
        <v>0</v>
      </c>
      <c r="AR125" s="38">
        <f>IFERROR(INDEX('Prior YTD Data Pull'!$A$2:$CB$605,MATCH('Prior YTD Data Table'!$C125,'Prior YTD Data Pull'!$A$2:$A$605,0),MATCH("Total Assets",'Prior YTD Data Pull'!$A$1:$CB$1,0)),"")</f>
        <v>0</v>
      </c>
      <c r="AS125" s="38">
        <f>IFERROR(INDEX('Prior YTD Data Pull'!$A$2:$CB$605,MATCH('Prior YTD Data Table'!$C125,'Prior YTD Data Pull'!$A$2:$A$605,0),MATCH("Long Term Debt Net of Current Portion",'Prior YTD Data Pull'!$A$1:$CB$1,0)),"")</f>
        <v>0</v>
      </c>
      <c r="AT125" s="38">
        <f>IFERROR(INDEX('Prior YTD Data Pull'!$A$2:$CB$605,MATCH('Prior YTD Data Table'!$C125,'Prior YTD Data Pull'!$A$2:$A$605,0),MATCH("Net Unrestricted Assets",'Prior YTD Data Pull'!$A$1:$CB$1,0)),"")</f>
        <v>0</v>
      </c>
      <c r="AU125" s="38">
        <f>IFERROR(INDEX('Prior YTD Data Pull'!$A$2:$CB$605,MATCH('Prior YTD Data Table'!$C125,'Prior YTD Data Pull'!$A$2:$A$605,0),MATCH("Unrealized Gains/Losses",'Prior YTD Data Pull'!$A$1:$CB$1,0)),"")</f>
        <v>0</v>
      </c>
      <c r="AV125" s="38">
        <f>IFERROR(INDEX('Prior YTD Data Pull'!$A$2:$CB$605,MATCH('Prior YTD Data Table'!$C125,'Prior YTD Data Pull'!$A$2:$A$605,0),MATCH("Salary and Benefit Expense",'Prior YTD Data Pull'!$A$1:$CB$1,0)),"")</f>
        <v>46173000</v>
      </c>
      <c r="AW125" s="38"/>
      <c r="AX125" s="38"/>
      <c r="AY125" s="38"/>
      <c r="AZ125" s="38"/>
    </row>
    <row r="126" spans="1:52" ht="22.8" x14ac:dyDescent="0.3">
      <c r="A126" s="14" t="str">
        <f>IFERROR(INDEX('Static Data Tab'!$N$2:$N$610,MATCH(D126,'Static Data Tab'!$D$2:$D$610,0)), "")</f>
        <v>Trinity Health</v>
      </c>
      <c r="B126" s="14" t="s">
        <v>187</v>
      </c>
      <c r="C126" s="14">
        <v>14425</v>
      </c>
      <c r="D126" s="14">
        <v>14288</v>
      </c>
      <c r="E126" s="14" t="str">
        <f>IFERROR(INDEX('Prior YTD Data Pull'!$A$1:$CB$605,MATCH('Prior YTD Data Table'!$C126,'Prior YTD Data Pull'!$A$1:$A$605,0),MATCH("Organization Type",'Prior YTD Data Pull'!$A$1:$CB$1,0)),"")</f>
        <v/>
      </c>
      <c r="F126" s="14" t="str">
        <f>IFERROR(INDEX('Static Data Tab'!$E$2:$E$610,MATCH('Prior YTD Data Table'!$C126,'Static Data Tab'!$B$2:$B$610,0)), "-")</f>
        <v>-</v>
      </c>
      <c r="G126" s="46" t="str">
        <f>IFERROR(INDEX('Static Data Tab'!$J$2:$J$610,MATCH('Prior YTD Data Table'!$C126,'Static Data Tab'!$B$2:$B$610,0)), "")</f>
        <v/>
      </c>
      <c r="H126" s="14" t="str">
        <f>IFERROR(INDEX('Static Data Tab'!$F$2:$F$610,MATCH('Prior YTD Data Table'!$C126,'Static Data Tab'!$B$2:$B$610,0)), "")</f>
        <v/>
      </c>
      <c r="I126" s="14" t="str">
        <f>IFERROR(INDEX('Static Data Tab'!$G$2:$G$610,MATCH('Prior YTD Data Table'!$C126,'Static Data Tab'!$B$2:$B$610,0)), "")</f>
        <v/>
      </c>
      <c r="J126" s="14" t="str">
        <f>IFERROR(INDEX('Prior YTD Data Pull'!$A$2:$CB$605,MATCH('Prior YTD Data Table'!$C126,'Prior YTD Data Pull'!$A$2:$A$605,0),MATCH("Quarter Range",'Prior YTD Data Pull'!$A$1:$CB$1,0)),"")</f>
        <v/>
      </c>
      <c r="K126" s="37" t="str">
        <f t="shared" si="15"/>
        <v/>
      </c>
      <c r="L126" s="37" t="str">
        <f t="shared" si="16"/>
        <v/>
      </c>
      <c r="M126" s="37" t="str">
        <f t="shared" si="17"/>
        <v/>
      </c>
      <c r="N126" s="38" t="str">
        <f t="shared" si="18"/>
        <v/>
      </c>
      <c r="O126" s="39" t="str">
        <f t="shared" si="19"/>
        <v/>
      </c>
      <c r="P126" s="38" t="str">
        <f>IFERROR(INDEX('Prior YTD Data Pull'!$A$2:$CB$605,MATCH('Prior YTD Data Table'!$C126,'Prior YTD Data Pull'!$A$2:$A$605,0),MATCH("Total Net Assets or Equity",'Prior YTD Data Pull'!$A$1:$CB$1,0)),"")</f>
        <v/>
      </c>
      <c r="Q126" s="38" t="str">
        <f>IFERROR(INDEX('Prior YTD Data Pull'!$A$2:$CB$605,MATCH('Prior YTD Data Table'!$C126,'Prior YTD Data Pull'!$A$2:$A$605,0),MATCH("Total Operating Revenue",'Prior YTD Data Pull'!$A$1:$CB$1,0)),"")</f>
        <v/>
      </c>
      <c r="R126" s="38" t="str">
        <f>IFERROR(INDEX('Prior YTD Data Pull'!$A$2:$CB$605,MATCH('Prior YTD Data Table'!$C126,'Prior YTD Data Pull'!$A$2:$A$605,0),MATCH("Total Unrestricted Revenue Gains and Other Support",'Prior YTD Data Pull'!$A$1:$CB$1,0)),"")</f>
        <v/>
      </c>
      <c r="S126" s="38">
        <f>IFERROR(INDEX('Prior YTD TS Data Pull'!$J$2:$J$128,MATCH('Prior YTD Data Table'!$C126, 'Prior YTD TS Data Pull'!$A$2:$A$128,0))+INDEX('Prior YTD TS Data Pull'!$N$2:$N$128,MATCH('Prior YTD Data Table'!$C126,'Prior YTD TS Data Pull'!$A$2:$A$609,0))+INDEX('Prior YTD TS Data Pull'!$R$2:$R$128,MATCH('Prior YTD Data Table'!$C126,'Prior YTD TS Data Pull'!$A$2:$A$609,0)),"")</f>
        <v>0</v>
      </c>
      <c r="T126" s="38">
        <f>IF(INDEX('Prior YTD TS Data Pull'!$A$1:$O$609,MATCH('Prior YTD Data Table'!$C126,'Prior YTD TS Data Pull'!$A$1:$A$609,0),MATCH("Temporary RN Staffing:
Line Reported on in Standardized Financials",'Prior YTD TS Data Pull'!$A$1:$O$1,0))="66.1: Salary and Benefit Expense",'Prior YTD Data Table'!$AV126-'Prior YTD Data Table'!$S126,0)</f>
        <v>0</v>
      </c>
      <c r="U126" s="38" t="str">
        <f>IFERROR(INDEX('Prior YTD Data Pull'!$A$2:$CB$605,MATCH('Prior YTD Data Table'!$C126,'Prior YTD Data Pull'!$A$2:$A$605,0),MATCH("Total Expenses Including Nonrecurring Gains Losses",'Prior YTD Data Pull'!$A$1:$CB$1,0)),"")</f>
        <v/>
      </c>
      <c r="V126" s="41" t="str">
        <f t="shared" si="20"/>
        <v/>
      </c>
      <c r="W126" s="41" t="str">
        <f t="shared" si="21"/>
        <v/>
      </c>
      <c r="X126" s="41" t="str">
        <f t="shared" si="13"/>
        <v/>
      </c>
      <c r="Y126" s="37" t="str">
        <f t="shared" si="22"/>
        <v/>
      </c>
      <c r="Z126" s="41" t="str">
        <f t="shared" si="14"/>
        <v/>
      </c>
      <c r="AA126" s="39" t="str">
        <f t="shared" si="23"/>
        <v/>
      </c>
      <c r="AB126" s="37" t="str">
        <f t="shared" si="24"/>
        <v/>
      </c>
      <c r="AC126" s="37" t="str">
        <f t="shared" si="25"/>
        <v/>
      </c>
      <c r="AD126" s="38" t="str">
        <f>IFERROR(INDEX('Prior YTD Data Pull'!$A$2:$CB$605,MATCH('Prior YTD Data Table'!$C126,'Prior YTD Data Pull'!$A$2:$A$605,0),MATCH("Net Patient Service Revenue",'Prior YTD Data Pull'!$A$1:$CB$1,0)),"")</f>
        <v/>
      </c>
      <c r="AE126" s="38" t="str">
        <f>IFERROR(INDEX('Prior YTD Data Pull'!$A$2:$CB$605,MATCH('Prior YTD Data Table'!$C126,'Prior YTD Data Pull'!$A$2:$A$605,0),MATCH("Total Current Assets",'Prior YTD Data Pull'!$A$1:$CB$1,0)),"")</f>
        <v/>
      </c>
      <c r="AF126" s="38" t="str">
        <f>IFERROR(INDEX('Prior YTD Data Pull'!$A$2:$CB$605,MATCH('Prior YTD Data Table'!$C126,'Prior YTD Data Pull'!$A$2:$A$605,0),MATCH("Total Current Liabilities",'Prior YTD Data Pull'!$A$1:$CB$1,0)),"")</f>
        <v/>
      </c>
      <c r="AG126" s="38" t="str">
        <f>IFERROR(INDEX('Prior YTD Data Pull'!$A$2:$CB$605,MATCH('Prior YTD Data Table'!$C126,'Prior YTD Data Pull'!$A$2:$A$605,0),MATCH("Total Non Operating Revenue",'Prior YTD Data Pull'!$A$1:$CB$1,0)),"")</f>
        <v/>
      </c>
      <c r="AH126" s="38">
        <f>IFERROR(INDEX('Prior YTD Data Pull'!$A$2:$CB$605,MATCH('Prior YTD Data Table'!$C126,'Prior Year Data Pull'!$A$2:$A$593,0),MATCH("Less Accumulated Depreciation",'Prior YTD Data Pull'!$A$1:$CB$1,0)),"")</f>
        <v>0</v>
      </c>
      <c r="AI126" s="38" t="str">
        <f>IFERROR(INDEX('Prior YTD Data Pull'!$A$2:$CB$605,MATCH('Prior YTD Data Table'!$C126,'Prior YTD Data Pull'!$A$2:$A$605,0),MATCH("Depreciation and Amortization Expense",'Prior YTD Data Pull'!$A$1:$CB$1,0)),"")</f>
        <v/>
      </c>
      <c r="AJ126" s="38" t="str">
        <f>IFERROR(INDEX('Prior YTD Data Pull'!$A$2:$CB$605,MATCH('Prior YTD Data Table'!$C126,'Prior YTD Data Pull'!$A$2:$A$605,0),MATCH("Net Patient Accounts Receivable",'Prior YTD Data Pull'!$A$1:$CB$1,0)),"")</f>
        <v/>
      </c>
      <c r="AK126" s="14" t="str">
        <f>IF('Prior YTD Data Pull'!$H125 = 6, "183", IF('Prior YTD Data Pull'!$H125 = 3, "93",""))</f>
        <v>183</v>
      </c>
      <c r="AL126" s="38" t="str">
        <f>IFERROR(INDEX('Prior YTD Data Pull'!$A$2:$CB$605,MATCH('Prior YTD Data Table'!$C126,'Prior YTD Data Pull'!$A$2:$A$605,0),MATCH("Estimated Third Party Settlements",'Prior YTD Data Pull'!$A$1:$CB$1,0)),"")</f>
        <v/>
      </c>
      <c r="AM126" s="38" t="str">
        <f>IFERROR(INDEX('Prior YTD Data Pull'!$A$2:$CB$605,MATCH('Prior YTD Data Table'!$C126,'Prior YTD Data Pull'!$A$2:$A$605,0),MATCH("Current Liabilities due to Affiliates",'Prior YTD Data Pull'!$A$1:$CB$1,0)),"")</f>
        <v/>
      </c>
      <c r="AN126" s="38" t="str">
        <f>IFERROR(INDEX('Prior YTD Data Pull'!$A$2:$CB$605,MATCH('Prior YTD Data Table'!$C126,'Prior YTD Data Pull'!$A$2:$A$605,0),MATCH("Short Term Investments",'Prior YTD Data Pull'!$A$1:$CB$1,0)),"")</f>
        <v/>
      </c>
      <c r="AO126" s="38" t="str">
        <f>IFERROR(INDEX('Prior YTD Data Pull'!$A$2:$CB$605,MATCH('Prior YTD Data Table'!$C126,'Prior YTD Data Pull'!$A$2:$A$605,0),MATCH("Cash and Cash Equivalents",'Prior YTD Data Pull'!$A$1:$CB$1,0)),"")</f>
        <v/>
      </c>
      <c r="AP126" s="38" t="str">
        <f>IFERROR(INDEX('Prior YTD Data Pull'!$A$2:$CB$605,MATCH('Prior YTD Data Table'!$C126,'Prior YTD Data Pull'!$A$2:$A$605,0),MATCH("Interest Expense",'Prior YTD Data Pull'!$A$1:$CB$1,0)),"")</f>
        <v/>
      </c>
      <c r="AQ126" s="38" t="str">
        <f>IFERROR(INDEX('Prior YTD Data Pull'!$A$2:$CB$605,MATCH('Prior YTD Data Table'!$C126,'Prior YTD Data Pull'!$A$2:$A$605,0),MATCH("Long Term Debt Net of Current Portion",'Prior YTD Data Pull'!$A$1:$CB$1,0)),"")</f>
        <v/>
      </c>
      <c r="AR126" s="38" t="str">
        <f>IFERROR(INDEX('Prior YTD Data Pull'!$A$2:$CB$605,MATCH('Prior YTD Data Table'!$C126,'Prior YTD Data Pull'!$A$2:$A$605,0),MATCH("Total Assets",'Prior YTD Data Pull'!$A$1:$CB$1,0)),"")</f>
        <v/>
      </c>
      <c r="AS126" s="38" t="str">
        <f>IFERROR(INDEX('Prior YTD Data Pull'!$A$2:$CB$605,MATCH('Prior YTD Data Table'!$C126,'Prior YTD Data Pull'!$A$2:$A$605,0),MATCH("Long Term Debt Net of Current Portion",'Prior YTD Data Pull'!$A$1:$CB$1,0)),"")</f>
        <v/>
      </c>
      <c r="AT126" s="38" t="str">
        <f>IFERROR(INDEX('Prior YTD Data Pull'!$A$2:$CB$605,MATCH('Prior YTD Data Table'!$C126,'Prior YTD Data Pull'!$A$2:$A$605,0),MATCH("Net Unrestricted Assets",'Prior YTD Data Pull'!$A$1:$CB$1,0)),"")</f>
        <v/>
      </c>
      <c r="AU126" s="38" t="str">
        <f>IFERROR(INDEX('Prior YTD Data Pull'!$A$2:$CB$605,MATCH('Prior YTD Data Table'!$C126,'Prior YTD Data Pull'!$A$2:$A$605,0),MATCH("Unrealized Gains/Losses",'Prior YTD Data Pull'!$A$1:$CB$1,0)),"")</f>
        <v/>
      </c>
      <c r="AV126" s="38" t="str">
        <f>IFERROR(INDEX('Prior YTD Data Pull'!$A$2:$CB$605,MATCH('Prior YTD Data Table'!$C126,'Prior YTD Data Pull'!$A$2:$A$605,0),MATCH("Salary and Benefit Expense",'Prior YTD Data Pull'!$A$1:$CB$1,0)),"")</f>
        <v/>
      </c>
      <c r="AW126" s="47"/>
      <c r="AX126" s="47"/>
      <c r="AY126" s="47"/>
      <c r="AZ126" s="47"/>
    </row>
    <row r="127" spans="1:52" ht="34.200000000000003" x14ac:dyDescent="0.3">
      <c r="A127" s="14" t="str">
        <f>IFERROR(INDEX('Static Data Tab'!$N$2:$N$610,MATCH(D127,'Static Data Tab'!$D$2:$D$610,0)), "")</f>
        <v>Trinity Health</v>
      </c>
      <c r="B127" s="14" t="s">
        <v>185</v>
      </c>
      <c r="C127" s="14">
        <v>12151</v>
      </c>
      <c r="D127" s="14">
        <v>14288</v>
      </c>
      <c r="E127" s="14" t="str">
        <f>IFERROR(INDEX('Prior YTD Data Pull'!$A$1:$CB$605,MATCH('Prior YTD Data Table'!$C127,'Prior YTD Data Pull'!$A$1:$A$605,0),MATCH("Organization Type",'Prior YTD Data Pull'!$A$1:$CB$1,0)),"")</f>
        <v>PhysicianOrganization</v>
      </c>
      <c r="F127" s="14" t="str">
        <f>IFERROR(INDEX('Static Data Tab'!$E$2:$E$610,MATCH('Prior YTD Data Table'!$C127,'Static Data Tab'!$B$2:$B$610,0)), "-")</f>
        <v>-</v>
      </c>
      <c r="G127" s="46" t="str">
        <f>IFERROR(INDEX('Static Data Tab'!$J$2:$J$610,MATCH('Prior YTD Data Table'!$C127,'Static Data Tab'!$B$2:$B$610,0)), "")</f>
        <v/>
      </c>
      <c r="H127" s="14" t="str">
        <f>IFERROR(INDEX('Static Data Tab'!$F$2:$F$610,MATCH('Prior YTD Data Table'!$C127,'Static Data Tab'!$B$2:$B$610,0)), "")</f>
        <v/>
      </c>
      <c r="I127" s="14" t="str">
        <f>IFERROR(INDEX('Static Data Tab'!$G$2:$G$610,MATCH('Prior YTD Data Table'!$C127,'Static Data Tab'!$B$2:$B$610,0)), "")</f>
        <v/>
      </c>
      <c r="J127" s="14" t="str">
        <f>IFERROR(INDEX('Prior YTD Data Pull'!$A$2:$CB$605,MATCH('Prior YTD Data Table'!$C127,'Prior YTD Data Pull'!$A$2:$A$605,0),MATCH("Quarter Range",'Prior YTD Data Pull'!$A$1:$CB$1,0)),"")</f>
        <v xml:space="preserve">07/01/2024-03/31/2025
</v>
      </c>
      <c r="K127" s="37">
        <f t="shared" si="15"/>
        <v>-0.2195987621366576</v>
      </c>
      <c r="L127" s="37">
        <f t="shared" si="16"/>
        <v>0</v>
      </c>
      <c r="M127" s="37">
        <f t="shared" si="17"/>
        <v>-0.2195987621366576</v>
      </c>
      <c r="N127" s="38">
        <f t="shared" si="18"/>
        <v>-3537527</v>
      </c>
      <c r="O127" s="39" t="str">
        <f t="shared" si="19"/>
        <v/>
      </c>
      <c r="P127" s="38">
        <f>IFERROR(INDEX('Prior YTD Data Pull'!$A$2:$CB$605,MATCH('Prior YTD Data Table'!$C127,'Prior YTD Data Pull'!$A$2:$A$605,0),MATCH("Total Net Assets or Equity",'Prior YTD Data Pull'!$A$1:$CB$1,0)),"")</f>
        <v>0</v>
      </c>
      <c r="Q127" s="38">
        <f>IFERROR(INDEX('Prior YTD Data Pull'!$A$2:$CB$605,MATCH('Prior YTD Data Table'!$C127,'Prior YTD Data Pull'!$A$2:$A$605,0),MATCH("Total Operating Revenue",'Prior YTD Data Pull'!$A$1:$CB$1,0)),"")</f>
        <v>16109048</v>
      </c>
      <c r="R127" s="38">
        <f>IFERROR(INDEX('Prior YTD Data Pull'!$A$2:$CB$605,MATCH('Prior YTD Data Table'!$C127,'Prior YTD Data Pull'!$A$2:$A$605,0),MATCH("Total Unrestricted Revenue Gains and Other Support",'Prior YTD Data Pull'!$A$1:$CB$1,0)),"")</f>
        <v>16109048</v>
      </c>
      <c r="S127" s="38">
        <f>IFERROR(INDEX('Prior YTD TS Data Pull'!$J$2:$J$128,MATCH('Prior YTD Data Table'!$C127, 'Prior YTD TS Data Pull'!$A$2:$A$128,0))+INDEX('Prior YTD TS Data Pull'!$N$2:$N$128,MATCH('Prior YTD Data Table'!$C127,'Prior YTD TS Data Pull'!$A$2:$A$609,0))+INDEX('Prior YTD TS Data Pull'!$R$2:$R$128,MATCH('Prior YTD Data Table'!$C127,'Prior YTD TS Data Pull'!$A$2:$A$609,0)),"")</f>
        <v>90425</v>
      </c>
      <c r="T127" s="38">
        <f>IF(INDEX('Prior YTD TS Data Pull'!$A$1:$O$609,MATCH('Prior YTD Data Table'!$C127,'Prior YTD TS Data Pull'!$A$1:$A$609,0),MATCH("Temporary RN Staffing:
Line Reported on in Standardized Financials",'Prior YTD TS Data Pull'!$A$1:$O$1,0))="66.1: Salary and Benefit Expense",'Prior YTD Data Table'!$AV127-'Prior YTD Data Table'!$S127,0)</f>
        <v>0</v>
      </c>
      <c r="U127" s="38">
        <f>IFERROR(INDEX('Prior YTD Data Pull'!$A$2:$CB$605,MATCH('Prior YTD Data Table'!$C127,'Prior YTD Data Pull'!$A$2:$A$605,0),MATCH("Total Expenses Including Nonrecurring Gains Losses",'Prior YTD Data Pull'!$A$1:$CB$1,0)),"")</f>
        <v>19646575</v>
      </c>
      <c r="V127" s="41">
        <f t="shared" si="20"/>
        <v>0</v>
      </c>
      <c r="W127" s="41">
        <f t="shared" si="21"/>
        <v>0</v>
      </c>
      <c r="X127" s="41">
        <f t="shared" si="13"/>
        <v>0</v>
      </c>
      <c r="Y127" s="37" t="str">
        <f t="shared" si="22"/>
        <v/>
      </c>
      <c r="Z127" s="41">
        <f t="shared" si="14"/>
        <v>0</v>
      </c>
      <c r="AA127" s="39">
        <f t="shared" si="23"/>
        <v>-24909.374100719426</v>
      </c>
      <c r="AB127" s="37" t="str">
        <f t="shared" si="24"/>
        <v/>
      </c>
      <c r="AC127" s="37" t="str">
        <f t="shared" si="25"/>
        <v/>
      </c>
      <c r="AD127" s="38">
        <f>IFERROR(INDEX('Prior YTD Data Pull'!$A$2:$CB$605,MATCH('Prior YTD Data Table'!$C127,'Prior YTD Data Pull'!$A$2:$A$605,0),MATCH("Net Patient Service Revenue",'Prior YTD Data Pull'!$A$1:$CB$1,0)),"")</f>
        <v>8025952</v>
      </c>
      <c r="AE127" s="38">
        <f>IFERROR(INDEX('Prior YTD Data Pull'!$A$2:$CB$605,MATCH('Prior YTD Data Table'!$C127,'Prior YTD Data Pull'!$A$2:$A$605,0),MATCH("Total Current Assets",'Prior YTD Data Pull'!$A$1:$CB$1,0)),"")</f>
        <v>0</v>
      </c>
      <c r="AF127" s="38">
        <f>IFERROR(INDEX('Prior YTD Data Pull'!$A$2:$CB$605,MATCH('Prior YTD Data Table'!$C127,'Prior YTD Data Pull'!$A$2:$A$605,0),MATCH("Total Current Liabilities",'Prior YTD Data Pull'!$A$1:$CB$1,0)),"")</f>
        <v>0</v>
      </c>
      <c r="AG127" s="38">
        <f>IFERROR(INDEX('Prior YTD Data Pull'!$A$2:$CB$605,MATCH('Prior YTD Data Table'!$C127,'Prior YTD Data Pull'!$A$2:$A$605,0),MATCH("Total Non Operating Revenue",'Prior YTD Data Pull'!$A$1:$CB$1,0)),"")</f>
        <v>0</v>
      </c>
      <c r="AH127" s="38">
        <f>IFERROR(INDEX('Prior YTD Data Pull'!$A$2:$CB$605,MATCH('Prior YTD Data Table'!$C127,'Prior Year Data Pull'!$A$2:$A$593,0),MATCH("Less Accumulated Depreciation",'Prior YTD Data Pull'!$A$1:$CB$1,0)),"")</f>
        <v>0</v>
      </c>
      <c r="AI127" s="38">
        <f>IFERROR(INDEX('Prior YTD Data Pull'!$A$2:$CB$605,MATCH('Prior YTD Data Table'!$C127,'Prior YTD Data Pull'!$A$2:$A$605,0),MATCH("Depreciation and Amortization Expense",'Prior YTD Data Pull'!$A$1:$CB$1,0)),"")</f>
        <v>74985</v>
      </c>
      <c r="AJ127" s="38">
        <f>IFERROR(INDEX('Prior YTD Data Pull'!$A$2:$CB$605,MATCH('Prior YTD Data Table'!$C127,'Prior YTD Data Pull'!$A$2:$A$605,0),MATCH("Net Patient Accounts Receivable",'Prior YTD Data Pull'!$A$1:$CB$1,0)),"")</f>
        <v>0</v>
      </c>
      <c r="AK127" s="14" t="str">
        <f>IF('Prior YTD Data Pull'!$H126 = 6, "183", IF('Prior YTD Data Pull'!$H126 = 3, "93",""))</f>
        <v>183</v>
      </c>
      <c r="AL127" s="38">
        <f>IFERROR(INDEX('Prior YTD Data Pull'!$A$2:$CB$605,MATCH('Prior YTD Data Table'!$C127,'Prior YTD Data Pull'!$A$2:$A$605,0),MATCH("Estimated Third Party Settlements",'Prior YTD Data Pull'!$A$1:$CB$1,0)),"")</f>
        <v>0</v>
      </c>
      <c r="AM127" s="38">
        <f>IFERROR(INDEX('Prior YTD Data Pull'!$A$2:$CB$605,MATCH('Prior YTD Data Table'!$C127,'Prior YTD Data Pull'!$A$2:$A$605,0),MATCH("Current Liabilities due to Affiliates",'Prior YTD Data Pull'!$A$1:$CB$1,0)),"")</f>
        <v>0</v>
      </c>
      <c r="AN127" s="38">
        <f>IFERROR(INDEX('Prior YTD Data Pull'!$A$2:$CB$605,MATCH('Prior YTD Data Table'!$C127,'Prior YTD Data Pull'!$A$2:$A$605,0),MATCH("Short Term Investments",'Prior YTD Data Pull'!$A$1:$CB$1,0)),"")</f>
        <v>0</v>
      </c>
      <c r="AO127" s="38">
        <f>IFERROR(INDEX('Prior YTD Data Pull'!$A$2:$CB$605,MATCH('Prior YTD Data Table'!$C127,'Prior YTD Data Pull'!$A$2:$A$605,0),MATCH("Cash and Cash Equivalents",'Prior YTD Data Pull'!$A$1:$CB$1,0)),"")</f>
        <v>0</v>
      </c>
      <c r="AP127" s="38">
        <f>IFERROR(INDEX('Prior YTD Data Pull'!$A$2:$CB$605,MATCH('Prior YTD Data Table'!$C127,'Prior YTD Data Pull'!$A$2:$A$605,0),MATCH("Interest Expense",'Prior YTD Data Pull'!$A$1:$CB$1,0)),"")</f>
        <v>139</v>
      </c>
      <c r="AQ127" s="38">
        <f>IFERROR(INDEX('Prior YTD Data Pull'!$A$2:$CB$605,MATCH('Prior YTD Data Table'!$C127,'Prior YTD Data Pull'!$A$2:$A$605,0),MATCH("Long Term Debt Net of Current Portion",'Prior YTD Data Pull'!$A$1:$CB$1,0)),"")</f>
        <v>0</v>
      </c>
      <c r="AR127" s="38">
        <f>IFERROR(INDEX('Prior YTD Data Pull'!$A$2:$CB$605,MATCH('Prior YTD Data Table'!$C127,'Prior YTD Data Pull'!$A$2:$A$605,0),MATCH("Total Assets",'Prior YTD Data Pull'!$A$1:$CB$1,0)),"")</f>
        <v>0</v>
      </c>
      <c r="AS127" s="38">
        <f>IFERROR(INDEX('Prior YTD Data Pull'!$A$2:$CB$605,MATCH('Prior YTD Data Table'!$C127,'Prior YTD Data Pull'!$A$2:$A$605,0),MATCH("Long Term Debt Net of Current Portion",'Prior YTD Data Pull'!$A$1:$CB$1,0)),"")</f>
        <v>0</v>
      </c>
      <c r="AT127" s="38">
        <f>IFERROR(INDEX('Prior YTD Data Pull'!$A$2:$CB$605,MATCH('Prior YTD Data Table'!$C127,'Prior YTD Data Pull'!$A$2:$A$605,0),MATCH("Net Unrestricted Assets",'Prior YTD Data Pull'!$A$1:$CB$1,0)),"")</f>
        <v>0</v>
      </c>
      <c r="AU127" s="38">
        <f>IFERROR(INDEX('Prior YTD Data Pull'!$A$2:$CB$605,MATCH('Prior YTD Data Table'!$C127,'Prior YTD Data Pull'!$A$2:$A$605,0),MATCH("Unrealized Gains/Losses",'Prior YTD Data Pull'!$A$1:$CB$1,0)),"")</f>
        <v>0</v>
      </c>
      <c r="AV127" s="38">
        <f>IFERROR(INDEX('Prior YTD Data Pull'!$A$2:$CB$605,MATCH('Prior YTD Data Table'!$C127,'Prior YTD Data Pull'!$A$2:$A$605,0),MATCH("Salary and Benefit Expense",'Prior YTD Data Pull'!$A$1:$CB$1,0)),"")</f>
        <v>16259159</v>
      </c>
      <c r="AW127" s="38"/>
      <c r="AX127" s="38"/>
      <c r="AY127" s="38"/>
      <c r="AZ127" s="38"/>
    </row>
    <row r="128" spans="1:52" ht="34.200000000000003" x14ac:dyDescent="0.3">
      <c r="A128" s="14" t="str">
        <f>IFERROR(INDEX('Static Data Tab'!$N$2:$N$610,MATCH(D128,'Static Data Tab'!$D$2:$D$610,0)), "")</f>
        <v>Trinity Health</v>
      </c>
      <c r="B128" s="57" t="s">
        <v>188</v>
      </c>
      <c r="C128" s="57">
        <v>16532</v>
      </c>
      <c r="D128" s="57">
        <v>14288</v>
      </c>
      <c r="E128" s="14" t="str">
        <f>IFERROR(INDEX('Prior YTD Data Pull'!$A$1:$CB$605,MATCH('Prior YTD Data Table'!$C128,'Prior YTD Data Pull'!$A$1:$A$605,0),MATCH("Organization Type",'Prior YTD Data Pull'!$A$1:$CB$1,0)),"")</f>
        <v>PhysicianOrganization</v>
      </c>
      <c r="F128" s="14" t="str">
        <f>IFERROR(INDEX('Static Data Tab'!$E$2:$E$610,MATCH('Prior YTD Data Table'!$C128,'Static Data Tab'!$B$2:$B$610,0)), "-")</f>
        <v>-</v>
      </c>
      <c r="G128" s="46" t="str">
        <f>IFERROR(INDEX('Static Data Tab'!$J$2:$J$610,MATCH('Prior YTD Data Table'!$C128,'Static Data Tab'!$B$2:$B$610,0)), "")</f>
        <v/>
      </c>
      <c r="H128" s="14" t="str">
        <f>IFERROR(INDEX('Static Data Tab'!$F$2:$F$610,MATCH('Prior YTD Data Table'!$C128,'Static Data Tab'!$B$2:$B$610,0)), "")</f>
        <v/>
      </c>
      <c r="I128" s="14" t="str">
        <f>IFERROR(INDEX('Static Data Tab'!$G$2:$G$610,MATCH('Prior YTD Data Table'!$C128,'Static Data Tab'!$B$2:$B$610,0)), "")</f>
        <v/>
      </c>
      <c r="J128" s="14" t="str">
        <f>IFERROR(INDEX('Prior YTD Data Pull'!$A$2:$CB$605,MATCH('Prior YTD Data Table'!$C128,'Prior YTD Data Pull'!$A$2:$A$605,0),MATCH("Quarter Range",'Prior YTD Data Pull'!$A$1:$CB$1,0)),"")</f>
        <v xml:space="preserve">07/01/2024-03/31/2025
</v>
      </c>
      <c r="K128" s="37">
        <f t="shared" si="15"/>
        <v>-0.95360728725186172</v>
      </c>
      <c r="L128" s="37">
        <f t="shared" si="16"/>
        <v>0</v>
      </c>
      <c r="M128" s="37">
        <f t="shared" si="17"/>
        <v>-0.95360728725186172</v>
      </c>
      <c r="N128" s="38">
        <f t="shared" si="18"/>
        <v>-5257627</v>
      </c>
      <c r="O128" s="39" t="str">
        <f t="shared" si="19"/>
        <v/>
      </c>
      <c r="P128" s="38">
        <f>IFERROR(INDEX('Prior YTD Data Pull'!$A$2:$CB$605,MATCH('Prior YTD Data Table'!$C128,'Prior YTD Data Pull'!$A$2:$A$605,0),MATCH("Total Net Assets or Equity",'Prior YTD Data Pull'!$A$1:$CB$1,0)),"")</f>
        <v>0</v>
      </c>
      <c r="Q128" s="38">
        <f>IFERROR(INDEX('Prior YTD Data Pull'!$A$2:$CB$605,MATCH('Prior YTD Data Table'!$C128,'Prior YTD Data Pull'!$A$2:$A$605,0),MATCH("Total Operating Revenue",'Prior YTD Data Pull'!$A$1:$CB$1,0)),"")</f>
        <v>5513409</v>
      </c>
      <c r="R128" s="38">
        <f>IFERROR(INDEX('Prior YTD Data Pull'!$A$2:$CB$605,MATCH('Prior YTD Data Table'!$C128,'Prior YTD Data Pull'!$A$2:$A$605,0),MATCH("Total Unrestricted Revenue Gains and Other Support",'Prior YTD Data Pull'!$A$1:$CB$1,0)),"")</f>
        <v>5513409</v>
      </c>
      <c r="S128" s="38">
        <f>IFERROR(INDEX('Prior YTD TS Data Pull'!$J$2:$J$128,MATCH('Prior YTD Data Table'!$C128, 'Prior YTD TS Data Pull'!$A$2:$A$128,0))+INDEX('Prior YTD TS Data Pull'!$N$2:$N$128,MATCH('Prior YTD Data Table'!$C128,'Prior YTD TS Data Pull'!$A$2:$A$609,0))+INDEX('Prior YTD TS Data Pull'!$R$2:$R$128,MATCH('Prior YTD Data Table'!$C128,'Prior YTD TS Data Pull'!$A$2:$A$609,0)),"")</f>
        <v>0</v>
      </c>
      <c r="T128" s="38">
        <f>IF(INDEX('Prior YTD TS Data Pull'!$A$1:$O$609,MATCH('Prior YTD Data Table'!$C128,'Prior YTD TS Data Pull'!$A$1:$A$609,0),MATCH("Temporary RN Staffing:
Line Reported on in Standardized Financials",'Prior YTD TS Data Pull'!$A$1:$O$1,0))="66.1: Salary and Benefit Expense",'Prior YTD Data Table'!$AV128-'Prior YTD Data Table'!$S128,0)</f>
        <v>0</v>
      </c>
      <c r="U128" s="38">
        <f>IFERROR(INDEX('Prior YTD Data Pull'!$A$2:$CB$605,MATCH('Prior YTD Data Table'!$C128,'Prior YTD Data Pull'!$A$2:$A$605,0),MATCH("Total Expenses Including Nonrecurring Gains Losses",'Prior YTD Data Pull'!$A$1:$CB$1,0)),"")</f>
        <v>10771036</v>
      </c>
      <c r="V128" s="41">
        <f t="shared" si="20"/>
        <v>84040.591096894583</v>
      </c>
      <c r="W128" s="41">
        <f t="shared" si="21"/>
        <v>0</v>
      </c>
      <c r="X128" s="41">
        <f t="shared" si="13"/>
        <v>0</v>
      </c>
      <c r="Y128" s="37" t="str">
        <f t="shared" si="22"/>
        <v/>
      </c>
      <c r="Z128" s="41">
        <f t="shared" si="14"/>
        <v>0</v>
      </c>
      <c r="AA128" s="39">
        <f t="shared" si="23"/>
        <v>-18228.597222222223</v>
      </c>
      <c r="AB128" s="37" t="str">
        <f t="shared" si="24"/>
        <v/>
      </c>
      <c r="AC128" s="37" t="str">
        <f t="shared" si="25"/>
        <v/>
      </c>
      <c r="AD128" s="38">
        <f>IFERROR(INDEX('Prior YTD Data Pull'!$A$2:$CB$605,MATCH('Prior YTD Data Table'!$C128,'Prior YTD Data Pull'!$A$2:$A$605,0),MATCH("Net Patient Service Revenue",'Prior YTD Data Pull'!$A$1:$CB$1,0)),"")</f>
        <v>5512129</v>
      </c>
      <c r="AE128" s="38">
        <f>IFERROR(INDEX('Prior YTD Data Pull'!$A$2:$CB$605,MATCH('Prior YTD Data Table'!$C128,'Prior YTD Data Pull'!$A$2:$A$605,0),MATCH("Total Current Assets",'Prior YTD Data Pull'!$A$1:$CB$1,0)),"")</f>
        <v>0</v>
      </c>
      <c r="AF128" s="38">
        <f>IFERROR(INDEX('Prior YTD Data Pull'!$A$2:$CB$605,MATCH('Prior YTD Data Table'!$C128,'Prior YTD Data Pull'!$A$2:$A$605,0),MATCH("Total Current Liabilities",'Prior YTD Data Pull'!$A$1:$CB$1,0)),"")</f>
        <v>0</v>
      </c>
      <c r="AG128" s="38">
        <f>IFERROR(INDEX('Prior YTD Data Pull'!$A$2:$CB$605,MATCH('Prior YTD Data Table'!$C128,'Prior YTD Data Pull'!$A$2:$A$605,0),MATCH("Total Non Operating Revenue",'Prior YTD Data Pull'!$A$1:$CB$1,0)),"")</f>
        <v>0</v>
      </c>
      <c r="AH128" s="38">
        <f>IFERROR(INDEX('Prior YTD Data Pull'!$A$2:$CB$605,MATCH('Prior YTD Data Table'!$C128,'Prior Year Data Pull'!$A$2:$A$593,0),MATCH("Less Accumulated Depreciation",'Prior YTD Data Pull'!$A$1:$CB$1,0)),"")</f>
        <v>630556555</v>
      </c>
      <c r="AI128" s="38">
        <f>IFERROR(INDEX('Prior YTD Data Pull'!$A$2:$CB$605,MATCH('Prior YTD Data Table'!$C128,'Prior YTD Data Pull'!$A$2:$A$605,0),MATCH("Depreciation and Amortization Expense",'Prior YTD Data Pull'!$A$1:$CB$1,0)),"")</f>
        <v>7503</v>
      </c>
      <c r="AJ128" s="38">
        <f>IFERROR(INDEX('Prior YTD Data Pull'!$A$2:$CB$605,MATCH('Prior YTD Data Table'!$C128,'Prior YTD Data Pull'!$A$2:$A$605,0),MATCH("Net Patient Accounts Receivable",'Prior YTD Data Pull'!$A$1:$CB$1,0)),"")</f>
        <v>0</v>
      </c>
      <c r="AK128" s="14" t="str">
        <f>IF('Prior YTD Data Pull'!$H127 = 6, "183", IF('Prior YTD Data Pull'!$H127 = 3, "93",""))</f>
        <v>183</v>
      </c>
      <c r="AL128" s="38">
        <f>IFERROR(INDEX('Prior YTD Data Pull'!$A$2:$CB$605,MATCH('Prior YTD Data Table'!$C128,'Prior YTD Data Pull'!$A$2:$A$605,0),MATCH("Estimated Third Party Settlements",'Prior YTD Data Pull'!$A$1:$CB$1,0)),"")</f>
        <v>0</v>
      </c>
      <c r="AM128" s="38">
        <f>IFERROR(INDEX('Prior YTD Data Pull'!$A$2:$CB$605,MATCH('Prior YTD Data Table'!$C128,'Prior YTD Data Pull'!$A$2:$A$605,0),MATCH("Current Liabilities due to Affiliates",'Prior YTD Data Pull'!$A$1:$CB$1,0)),"")</f>
        <v>0</v>
      </c>
      <c r="AN128" s="38">
        <f>IFERROR(INDEX('Prior YTD Data Pull'!$A$2:$CB$605,MATCH('Prior YTD Data Table'!$C128,'Prior YTD Data Pull'!$A$2:$A$605,0),MATCH("Short Term Investments",'Prior YTD Data Pull'!$A$1:$CB$1,0)),"")</f>
        <v>0</v>
      </c>
      <c r="AO128" s="38">
        <f>IFERROR(INDEX('Prior YTD Data Pull'!$A$2:$CB$605,MATCH('Prior YTD Data Table'!$C128,'Prior YTD Data Pull'!$A$2:$A$605,0),MATCH("Cash and Cash Equivalents",'Prior YTD Data Pull'!$A$1:$CB$1,0)),"")</f>
        <v>0</v>
      </c>
      <c r="AP128" s="38">
        <f>IFERROR(INDEX('Prior YTD Data Pull'!$A$2:$CB$605,MATCH('Prior YTD Data Table'!$C128,'Prior YTD Data Pull'!$A$2:$A$605,0),MATCH("Interest Expense",'Prior YTD Data Pull'!$A$1:$CB$1,0)),"")</f>
        <v>288</v>
      </c>
      <c r="AQ128" s="38">
        <f>IFERROR(INDEX('Prior YTD Data Pull'!$A$2:$CB$605,MATCH('Prior YTD Data Table'!$C128,'Prior YTD Data Pull'!$A$2:$A$605,0),MATCH("Long Term Debt Net of Current Portion",'Prior YTD Data Pull'!$A$1:$CB$1,0)),"")</f>
        <v>0</v>
      </c>
      <c r="AR128" s="38">
        <f>IFERROR(INDEX('Prior YTD Data Pull'!$A$2:$CB$605,MATCH('Prior YTD Data Table'!$C128,'Prior YTD Data Pull'!$A$2:$A$605,0),MATCH("Total Assets",'Prior YTD Data Pull'!$A$1:$CB$1,0)),"")</f>
        <v>0</v>
      </c>
      <c r="AS128" s="38">
        <f>IFERROR(INDEX('Prior YTD Data Pull'!$A$2:$CB$605,MATCH('Prior YTD Data Table'!$C128,'Prior YTD Data Pull'!$A$2:$A$605,0),MATCH("Long Term Debt Net of Current Portion",'Prior YTD Data Pull'!$A$1:$CB$1,0)),"")</f>
        <v>0</v>
      </c>
      <c r="AT128" s="38">
        <f>IFERROR(INDEX('Prior YTD Data Pull'!$A$2:$CB$605,MATCH('Prior YTD Data Table'!$C128,'Prior YTD Data Pull'!$A$2:$A$605,0),MATCH("Net Unrestricted Assets",'Prior YTD Data Pull'!$A$1:$CB$1,0)),"")</f>
        <v>0</v>
      </c>
      <c r="AU128" s="38">
        <f>IFERROR(INDEX('Prior YTD Data Pull'!$A$2:$CB$605,MATCH('Prior YTD Data Table'!$C128,'Prior YTD Data Pull'!$A$2:$A$605,0),MATCH("Unrealized Gains/Losses",'Prior YTD Data Pull'!$A$1:$CB$1,0)),"")</f>
        <v>0</v>
      </c>
      <c r="AV128" s="38">
        <f>IFERROR(INDEX('Prior YTD Data Pull'!$A$2:$CB$605,MATCH('Prior YTD Data Table'!$C128,'Prior YTD Data Pull'!$A$2:$A$605,0),MATCH("Salary and Benefit Expense",'Prior YTD Data Pull'!$A$1:$CB$1,0)),"")</f>
        <v>0</v>
      </c>
      <c r="AW128" s="47"/>
      <c r="AX128" s="47"/>
      <c r="AY128" s="47"/>
      <c r="AZ128" s="47"/>
    </row>
    <row r="129" spans="1:48" ht="34.200000000000003" x14ac:dyDescent="0.3">
      <c r="A129" s="14" t="str">
        <f>IFERROR(INDEX('Static Data Tab'!$N$2:$N$610,MATCH(D129,'Static Data Tab'!$D$2:$D$610,0)), "")</f>
        <v>Trinity Health</v>
      </c>
      <c r="B129" s="14" t="s">
        <v>189</v>
      </c>
      <c r="C129" s="14">
        <v>16533</v>
      </c>
      <c r="D129" s="14">
        <v>14288</v>
      </c>
      <c r="E129" s="14" t="str">
        <f>IFERROR(INDEX('Prior YTD Data Pull'!$A$1:$CB$605,MATCH('Prior YTD Data Table'!$C129,'Prior YTD Data Pull'!$A$1:$A$605,0),MATCH("Organization Type",'Prior YTD Data Pull'!$A$1:$CB$1,0)),"")</f>
        <v>PhysicianOrganization</v>
      </c>
      <c r="F129" s="14" t="str">
        <f>IFERROR(INDEX('Static Data Tab'!$E$2:$E$610,MATCH('Prior YTD Data Table'!$C129,'Static Data Tab'!$B$2:$B$610,0)), "-")</f>
        <v>-</v>
      </c>
      <c r="G129" s="46" t="str">
        <f>IFERROR(INDEX('Static Data Tab'!$J$2:$J$610,MATCH('Prior YTD Data Table'!$C129,'Static Data Tab'!$B$2:$B$610,0)), "")</f>
        <v/>
      </c>
      <c r="H129" s="14" t="str">
        <f>IFERROR(INDEX('Static Data Tab'!$F$2:$F$610,MATCH('Prior YTD Data Table'!$C129,'Static Data Tab'!$B$2:$B$610,0)), "")</f>
        <v/>
      </c>
      <c r="I129" s="14" t="str">
        <f>IFERROR(INDEX('Static Data Tab'!$G$2:$G$610,MATCH('Prior YTD Data Table'!$C129,'Static Data Tab'!$B$2:$B$610,0)), "")</f>
        <v/>
      </c>
      <c r="J129" s="14" t="str">
        <f>IFERROR(INDEX('Prior YTD Data Pull'!$A$2:$CB$605,MATCH('Prior YTD Data Table'!$C129,'Prior YTD Data Pull'!$A$2:$A$605,0),MATCH("Quarter Range",'Prior YTD Data Pull'!$A$1:$CB$1,0)),"")</f>
        <v xml:space="preserve">07/01/2024-03/31/2025
</v>
      </c>
      <c r="K129" s="37">
        <f t="shared" si="15"/>
        <v>-0.31841326259096936</v>
      </c>
      <c r="L129" s="37">
        <f t="shared" si="16"/>
        <v>0</v>
      </c>
      <c r="M129" s="37">
        <f t="shared" si="17"/>
        <v>-0.31841326259096936</v>
      </c>
      <c r="N129" s="38">
        <f t="shared" si="18"/>
        <v>-20111067</v>
      </c>
      <c r="O129" s="39" t="str">
        <f t="shared" si="19"/>
        <v/>
      </c>
      <c r="P129" s="38">
        <f>IFERROR(INDEX('Prior YTD Data Pull'!$A$2:$CB$605,MATCH('Prior YTD Data Table'!$C129,'Prior YTD Data Pull'!$A$2:$A$605,0),MATCH("Total Net Assets or Equity",'Prior YTD Data Pull'!$A$1:$CB$1,0)),"")</f>
        <v>0</v>
      </c>
      <c r="Q129" s="38">
        <f>IFERROR(INDEX('Prior YTD Data Pull'!$A$2:$CB$605,MATCH('Prior YTD Data Table'!$C129,'Prior YTD Data Pull'!$A$2:$A$605,0),MATCH("Total Operating Revenue",'Prior YTD Data Pull'!$A$1:$CB$1,0)),"")</f>
        <v>63160268</v>
      </c>
      <c r="R129" s="38">
        <f>IFERROR(INDEX('Prior YTD Data Pull'!$A$2:$CB$605,MATCH('Prior YTD Data Table'!$C129,'Prior YTD Data Pull'!$A$2:$A$605,0),MATCH("Total Unrestricted Revenue Gains and Other Support",'Prior YTD Data Pull'!$A$1:$CB$1,0)),"")</f>
        <v>63160268</v>
      </c>
      <c r="S129" s="38">
        <f>IFERROR(INDEX('Prior YTD TS Data Pull'!$J$2:$J$128,MATCH('Prior YTD Data Table'!$C129, 'Prior YTD TS Data Pull'!$A$2:$A$128,0))+INDEX('Prior YTD TS Data Pull'!$N$2:$N$128,MATCH('Prior YTD Data Table'!$C129,'Prior YTD TS Data Pull'!$A$2:$A$609,0))+INDEX('Prior YTD TS Data Pull'!$R$2:$R$128,MATCH('Prior YTD Data Table'!$C129,'Prior YTD TS Data Pull'!$A$2:$A$609,0)),"")</f>
        <v>632732</v>
      </c>
      <c r="T129" s="38">
        <f>IF(INDEX('Prior YTD TS Data Pull'!$A$1:$O$609,MATCH('Prior YTD Data Table'!$C129,'Prior YTD TS Data Pull'!$A$1:$A$609,0),MATCH("Temporary RN Staffing:
Line Reported on in Standardized Financials",'Prior YTD TS Data Pull'!$A$1:$O$1,0))="66.1: Salary and Benefit Expense",'Prior YTD Data Table'!$AV129-'Prior YTD Data Table'!$S129,0)</f>
        <v>0</v>
      </c>
      <c r="U129" s="38">
        <f>IFERROR(INDEX('Prior YTD Data Pull'!$A$2:$CB$605,MATCH('Prior YTD Data Table'!$C129,'Prior YTD Data Pull'!$A$2:$A$605,0),MATCH("Total Expenses Including Nonrecurring Gains Losses",'Prior YTD Data Pull'!$A$1:$CB$1,0)),"")</f>
        <v>83271335</v>
      </c>
      <c r="V129" s="41">
        <f t="shared" si="20"/>
        <v>2456.5955294302335</v>
      </c>
      <c r="W129" s="41">
        <f t="shared" si="21"/>
        <v>0</v>
      </c>
      <c r="X129" s="41">
        <f t="shared" ref="X129" si="26">IFERROR(($AF129-$AL129)/(($U129-$AI129)/$AK129), "")</f>
        <v>0</v>
      </c>
      <c r="Y129" s="37" t="str">
        <f t="shared" si="22"/>
        <v/>
      </c>
      <c r="Z129" s="41">
        <f t="shared" ref="Z129" si="27">IFERROR(($AO129+$AN129)/(($U129-$AI129)/$AK129), "")</f>
        <v>0</v>
      </c>
      <c r="AA129" s="39">
        <f t="shared" si="23"/>
        <v>68712.80072463768</v>
      </c>
      <c r="AB129" s="37" t="str">
        <f t="shared" si="24"/>
        <v/>
      </c>
      <c r="AC129" s="37" t="str">
        <f t="shared" si="25"/>
        <v/>
      </c>
      <c r="AD129" s="38">
        <f>IFERROR(INDEX('Prior YTD Data Pull'!$A$2:$CB$605,MATCH('Prior YTD Data Table'!$C129,'Prior YTD Data Pull'!$A$2:$A$605,0),MATCH("Net Patient Service Revenue",'Prior YTD Data Pull'!$A$1:$CB$1,0)),"")</f>
        <v>40220796</v>
      </c>
      <c r="AE129" s="38">
        <f>IFERROR(INDEX('Prior YTD Data Pull'!$A$2:$CB$605,MATCH('Prior YTD Data Table'!$C129,'Prior YTD Data Pull'!$A$2:$A$605,0),MATCH("Total Current Assets",'Prior YTD Data Pull'!$A$1:$CB$1,0)),"")</f>
        <v>0</v>
      </c>
      <c r="AF129" s="38">
        <f>IFERROR(INDEX('Prior YTD Data Pull'!$A$2:$CB$605,MATCH('Prior YTD Data Table'!$C129,'Prior YTD Data Pull'!$A$2:$A$605,0),MATCH("Total Current Liabilities",'Prior YTD Data Pull'!$A$1:$CB$1,0)),"")</f>
        <v>0</v>
      </c>
      <c r="AG129" s="38">
        <f>IFERROR(INDEX('Prior YTD Data Pull'!$A$2:$CB$605,MATCH('Prior YTD Data Table'!$C129,'Prior YTD Data Pull'!$A$2:$A$605,0),MATCH("Total Non Operating Revenue",'Prior YTD Data Pull'!$A$1:$CB$1,0)),"")</f>
        <v>0</v>
      </c>
      <c r="AH129" s="38">
        <f>IFERROR(INDEX('Prior YTD Data Pull'!$A$2:$CB$605,MATCH('Prior YTD Data Table'!$C129,'Prior Year Data Pull'!$A$2:$A$593,0),MATCH("Less Accumulated Depreciation",'Prior YTD Data Pull'!$A$1:$CB$1,0)),"")</f>
        <v>2816757000</v>
      </c>
      <c r="AI129" s="38">
        <f>IFERROR(INDEX('Prior YTD Data Pull'!$A$2:$CB$605,MATCH('Prior YTD Data Table'!$C129,'Prior YTD Data Pull'!$A$2:$A$605,0),MATCH("Depreciation and Amortization Expense",'Prior YTD Data Pull'!$A$1:$CB$1,0)),"")</f>
        <v>1146610</v>
      </c>
      <c r="AJ129" s="38">
        <f>IFERROR(INDEX('Prior YTD Data Pull'!$A$2:$CB$605,MATCH('Prior YTD Data Table'!$C129,'Prior YTD Data Pull'!$A$2:$A$605,0),MATCH("Net Patient Accounts Receivable",'Prior YTD Data Pull'!$A$1:$CB$1,0)),"")</f>
        <v>0</v>
      </c>
      <c r="AK129" s="14" t="str">
        <f>IF('Prior YTD Data Pull'!$H128 = 6, "183", IF('Prior YTD Data Pull'!$H128 = 3, "93",""))</f>
        <v>183</v>
      </c>
      <c r="AL129" s="38">
        <f>IFERROR(INDEX('Prior YTD Data Pull'!$A$2:$CB$605,MATCH('Prior YTD Data Table'!$C129,'Prior YTD Data Pull'!$A$2:$A$605,0),MATCH("Estimated Third Party Settlements",'Prior YTD Data Pull'!$A$1:$CB$1,0)),"")</f>
        <v>0</v>
      </c>
      <c r="AM129" s="38">
        <f>IFERROR(INDEX('Prior YTD Data Pull'!$A$2:$CB$605,MATCH('Prior YTD Data Table'!$C129,'Prior YTD Data Pull'!$A$2:$A$605,0),MATCH("Current Liabilities due to Affiliates",'Prior YTD Data Pull'!$A$1:$CB$1,0)),"")</f>
        <v>0</v>
      </c>
      <c r="AN129" s="38">
        <f>IFERROR(INDEX('Prior YTD Data Pull'!$A$2:$CB$605,MATCH('Prior YTD Data Table'!$C129,'Prior YTD Data Pull'!$A$2:$A$605,0),MATCH("Short Term Investments",'Prior YTD Data Pull'!$A$1:$CB$1,0)),"")</f>
        <v>0</v>
      </c>
      <c r="AO129" s="38">
        <f>IFERROR(INDEX('Prior YTD Data Pull'!$A$2:$CB$605,MATCH('Prior YTD Data Table'!$C129,'Prior YTD Data Pull'!$A$2:$A$605,0),MATCH("Cash and Cash Equivalents",'Prior YTD Data Pull'!$A$1:$CB$1,0)),"")</f>
        <v>0</v>
      </c>
      <c r="AP129" s="38">
        <f>IFERROR(INDEX('Prior YTD Data Pull'!$A$2:$CB$605,MATCH('Prior YTD Data Table'!$C129,'Prior YTD Data Pull'!$A$2:$A$605,0),MATCH("Interest Expense",'Prior YTD Data Pull'!$A$1:$CB$1,0)),"")</f>
        <v>-276</v>
      </c>
      <c r="AQ129" s="38">
        <f>IFERROR(INDEX('Prior YTD Data Pull'!$A$2:$CB$605,MATCH('Prior YTD Data Table'!$C129,'Prior YTD Data Pull'!$A$2:$A$605,0),MATCH("Long Term Debt Net of Current Portion",'Prior YTD Data Pull'!$A$1:$CB$1,0)),"")</f>
        <v>0</v>
      </c>
      <c r="AR129" s="38">
        <f>IFERROR(INDEX('Prior YTD Data Pull'!$A$2:$CB$605,MATCH('Prior YTD Data Table'!$C129,'Prior YTD Data Pull'!$A$2:$A$605,0),MATCH("Total Assets",'Prior YTD Data Pull'!$A$1:$CB$1,0)),"")</f>
        <v>0</v>
      </c>
      <c r="AS129" s="38">
        <f>IFERROR(INDEX('Prior YTD Data Pull'!$A$2:$CB$605,MATCH('Prior YTD Data Table'!$C129,'Prior YTD Data Pull'!$A$2:$A$605,0),MATCH("Long Term Debt Net of Current Portion",'Prior YTD Data Pull'!$A$1:$CB$1,0)),"")</f>
        <v>0</v>
      </c>
      <c r="AT129" s="38">
        <f>IFERROR(INDEX('Prior YTD Data Pull'!$A$2:$CB$605,MATCH('Prior YTD Data Table'!$C129,'Prior YTD Data Pull'!$A$2:$A$605,0),MATCH("Net Unrestricted Assets",'Prior YTD Data Pull'!$A$1:$CB$1,0)),"")</f>
        <v>0</v>
      </c>
      <c r="AU129" s="38">
        <f>IFERROR(INDEX('Prior YTD Data Pull'!$A$2:$CB$605,MATCH('Prior YTD Data Table'!$C129,'Prior YTD Data Pull'!$A$2:$A$605,0),MATCH("Unrealized Gains/Losses",'Prior YTD Data Pull'!$A$1:$CB$1,0)),"")</f>
        <v>0</v>
      </c>
      <c r="AV129" s="38">
        <f>IFERROR(INDEX('Prior YTD Data Pull'!$A$2:$CB$605,MATCH('Prior YTD Data Table'!$C129,'Prior YTD Data Pull'!$A$2:$A$605,0),MATCH("Salary and Benefit Expense",'Prior YTD Data Pull'!$A$1:$CB$1,0)),"")</f>
        <v>63418460</v>
      </c>
    </row>
    <row r="130" spans="1:48" x14ac:dyDescent="0.3">
      <c r="AJ130" s="40"/>
    </row>
    <row r="131" spans="1:48" x14ac:dyDescent="0.3">
      <c r="AJ131" s="40"/>
    </row>
    <row r="132" spans="1:48" x14ac:dyDescent="0.3">
      <c r="AJ132" s="40"/>
    </row>
    <row r="133" spans="1:48" x14ac:dyDescent="0.3">
      <c r="AJ133" s="40"/>
    </row>
    <row r="134" spans="1:48" x14ac:dyDescent="0.3">
      <c r="AJ134" s="40"/>
    </row>
    <row r="135" spans="1:48" x14ac:dyDescent="0.3">
      <c r="AJ135" s="40"/>
    </row>
    <row r="136" spans="1:48" x14ac:dyDescent="0.3">
      <c r="AJ136" s="40"/>
    </row>
    <row r="137" spans="1:48" x14ac:dyDescent="0.3">
      <c r="AJ137" s="40"/>
    </row>
    <row r="138" spans="1:48" x14ac:dyDescent="0.3">
      <c r="AJ138" s="40"/>
    </row>
    <row r="139" spans="1:48" x14ac:dyDescent="0.3">
      <c r="AJ139" s="40"/>
    </row>
    <row r="140" spans="1:48" x14ac:dyDescent="0.3">
      <c r="AJ140" s="40"/>
    </row>
    <row r="141" spans="1:48" x14ac:dyDescent="0.3">
      <c r="AJ141" s="40"/>
    </row>
    <row r="142" spans="1:48" x14ac:dyDescent="0.3">
      <c r="AJ142" s="40"/>
    </row>
    <row r="143" spans="1:48" x14ac:dyDescent="0.3">
      <c r="AJ143" s="40"/>
    </row>
    <row r="144" spans="1:48" x14ac:dyDescent="0.3">
      <c r="AJ144" s="40"/>
    </row>
    <row r="145" spans="36:36" x14ac:dyDescent="0.3">
      <c r="AJ145" s="40"/>
    </row>
    <row r="146" spans="36:36" x14ac:dyDescent="0.3">
      <c r="AJ146" s="40"/>
    </row>
    <row r="147" spans="36:36" x14ac:dyDescent="0.3">
      <c r="AJ147" s="40"/>
    </row>
    <row r="148" spans="36:36" x14ac:dyDescent="0.3">
      <c r="AJ148" s="40"/>
    </row>
    <row r="149" spans="36:36" x14ac:dyDescent="0.3">
      <c r="AJ149" s="40"/>
    </row>
    <row r="150" spans="36:36" x14ac:dyDescent="0.3">
      <c r="AJ150" s="40"/>
    </row>
    <row r="151" spans="36:36" x14ac:dyDescent="0.3">
      <c r="AJ151" s="40"/>
    </row>
    <row r="152" spans="36:36" x14ac:dyDescent="0.3">
      <c r="AJ152" s="40"/>
    </row>
    <row r="153" spans="36:36" x14ac:dyDescent="0.3">
      <c r="AJ153" s="40"/>
    </row>
    <row r="154" spans="36:36" x14ac:dyDescent="0.3">
      <c r="AJ154" s="40"/>
    </row>
    <row r="155" spans="36:36" x14ac:dyDescent="0.3">
      <c r="AJ155" s="40"/>
    </row>
    <row r="156" spans="36:36" x14ac:dyDescent="0.3">
      <c r="AJ156" s="40"/>
    </row>
    <row r="157" spans="36:36" x14ac:dyDescent="0.3">
      <c r="AJ157" s="40"/>
    </row>
    <row r="158" spans="36:36" x14ac:dyDescent="0.3">
      <c r="AJ158" s="40"/>
    </row>
    <row r="159" spans="36:36" x14ac:dyDescent="0.3">
      <c r="AJ159" s="40"/>
    </row>
    <row r="160" spans="36:36" x14ac:dyDescent="0.3">
      <c r="AJ160" s="40"/>
    </row>
    <row r="161" spans="36:36" x14ac:dyDescent="0.3">
      <c r="AJ161" s="40"/>
    </row>
    <row r="162" spans="36:36" x14ac:dyDescent="0.3">
      <c r="AJ162" s="40"/>
    </row>
    <row r="163" spans="36:36" x14ac:dyDescent="0.3">
      <c r="AJ163" s="40"/>
    </row>
    <row r="164" spans="36:36" x14ac:dyDescent="0.3">
      <c r="AJ164" s="40"/>
    </row>
    <row r="165" spans="36:36" x14ac:dyDescent="0.3">
      <c r="AJ165" s="40"/>
    </row>
    <row r="166" spans="36:36" x14ac:dyDescent="0.3">
      <c r="AJ166" s="40"/>
    </row>
    <row r="167" spans="36:36" x14ac:dyDescent="0.3">
      <c r="AJ167" s="40"/>
    </row>
    <row r="168" spans="36:36" x14ac:dyDescent="0.3">
      <c r="AJ168" s="40"/>
    </row>
    <row r="169" spans="36:36" x14ac:dyDescent="0.3">
      <c r="AJ169" s="40"/>
    </row>
    <row r="170" spans="36:36" x14ac:dyDescent="0.3">
      <c r="AJ170" s="40"/>
    </row>
    <row r="171" spans="36:36" x14ac:dyDescent="0.3">
      <c r="AJ171" s="40"/>
    </row>
    <row r="172" spans="36:36" x14ac:dyDescent="0.3">
      <c r="AJ172" s="40"/>
    </row>
    <row r="173" spans="36:36" x14ac:dyDescent="0.3">
      <c r="AJ173" s="40"/>
    </row>
    <row r="174" spans="36:36" x14ac:dyDescent="0.3">
      <c r="AJ174" s="40"/>
    </row>
    <row r="175" spans="36:36" x14ac:dyDescent="0.3">
      <c r="AJ175" s="40"/>
    </row>
    <row r="176" spans="36:36" x14ac:dyDescent="0.3">
      <c r="AJ176" s="40"/>
    </row>
    <row r="177" spans="36:36" x14ac:dyDescent="0.3">
      <c r="AJ177" s="40"/>
    </row>
    <row r="178" spans="36:36" x14ac:dyDescent="0.3">
      <c r="AJ178" s="40"/>
    </row>
    <row r="179" spans="36:36" x14ac:dyDescent="0.3">
      <c r="AJ179" s="40"/>
    </row>
    <row r="180" spans="36:36" x14ac:dyDescent="0.3">
      <c r="AJ180" s="40"/>
    </row>
    <row r="181" spans="36:36" x14ac:dyDescent="0.3">
      <c r="AJ181" s="40"/>
    </row>
    <row r="182" spans="36:36" x14ac:dyDescent="0.3">
      <c r="AJ182" s="40"/>
    </row>
    <row r="183" spans="36:36" x14ac:dyDescent="0.3">
      <c r="AJ183" s="40"/>
    </row>
    <row r="184" spans="36:36" x14ac:dyDescent="0.3">
      <c r="AJ184" s="40"/>
    </row>
    <row r="185" spans="36:36" x14ac:dyDescent="0.3">
      <c r="AJ185" s="40"/>
    </row>
    <row r="186" spans="36:36" x14ac:dyDescent="0.3">
      <c r="AJ186" s="40"/>
    </row>
    <row r="187" spans="36:36" x14ac:dyDescent="0.3">
      <c r="AJ187" s="40"/>
    </row>
    <row r="188" spans="36:36" x14ac:dyDescent="0.3">
      <c r="AJ188" s="40"/>
    </row>
    <row r="189" spans="36:36" x14ac:dyDescent="0.3">
      <c r="AJ189" s="40"/>
    </row>
    <row r="190" spans="36:36" x14ac:dyDescent="0.3">
      <c r="AJ190" s="40"/>
    </row>
    <row r="191" spans="36:36" x14ac:dyDescent="0.3">
      <c r="AJ191" s="40"/>
    </row>
    <row r="192" spans="36:36" x14ac:dyDescent="0.3">
      <c r="AJ192" s="40"/>
    </row>
    <row r="193" spans="36:36" x14ac:dyDescent="0.3">
      <c r="AJ193" s="40"/>
    </row>
    <row r="194" spans="36:36" x14ac:dyDescent="0.3">
      <c r="AJ194" s="40"/>
    </row>
    <row r="195" spans="36:36" x14ac:dyDescent="0.3">
      <c r="AJ195" s="40"/>
    </row>
    <row r="196" spans="36:36" x14ac:dyDescent="0.3">
      <c r="AJ196" s="40"/>
    </row>
    <row r="197" spans="36:36" x14ac:dyDescent="0.3">
      <c r="AJ197" s="40"/>
    </row>
    <row r="198" spans="36:36" x14ac:dyDescent="0.3">
      <c r="AJ198" s="40"/>
    </row>
    <row r="199" spans="36:36" x14ac:dyDescent="0.3">
      <c r="AJ199" s="40"/>
    </row>
    <row r="200" spans="36:36" x14ac:dyDescent="0.3">
      <c r="AJ200" s="40"/>
    </row>
    <row r="201" spans="36:36" x14ac:dyDescent="0.3">
      <c r="AJ201" s="40"/>
    </row>
    <row r="202" spans="36:36" x14ac:dyDescent="0.3">
      <c r="AJ202" s="40"/>
    </row>
    <row r="203" spans="36:36" x14ac:dyDescent="0.3">
      <c r="AJ203" s="40"/>
    </row>
    <row r="204" spans="36:36" x14ac:dyDescent="0.3">
      <c r="AJ204" s="40"/>
    </row>
    <row r="205" spans="36:36" x14ac:dyDescent="0.3">
      <c r="AJ205" s="40"/>
    </row>
    <row r="206" spans="36:36" x14ac:dyDescent="0.3">
      <c r="AJ206" s="40"/>
    </row>
    <row r="207" spans="36:36" x14ac:dyDescent="0.3">
      <c r="AJ207" s="40"/>
    </row>
    <row r="208" spans="36:36" x14ac:dyDescent="0.3">
      <c r="AJ208" s="40"/>
    </row>
    <row r="209" spans="36:36" x14ac:dyDescent="0.3">
      <c r="AJ209" s="40"/>
    </row>
    <row r="210" spans="36:36" x14ac:dyDescent="0.3">
      <c r="AJ210" s="40"/>
    </row>
    <row r="211" spans="36:36" x14ac:dyDescent="0.3">
      <c r="AJ211" s="40"/>
    </row>
    <row r="212" spans="36:36" x14ac:dyDescent="0.3">
      <c r="AJ212" s="40"/>
    </row>
    <row r="213" spans="36:36" x14ac:dyDescent="0.3">
      <c r="AJ213" s="40"/>
    </row>
    <row r="214" spans="36:36" x14ac:dyDescent="0.3">
      <c r="AJ214" s="40"/>
    </row>
    <row r="215" spans="36:36" x14ac:dyDescent="0.3">
      <c r="AJ215" s="40"/>
    </row>
    <row r="216" spans="36:36" x14ac:dyDescent="0.3">
      <c r="AJ216" s="40"/>
    </row>
    <row r="217" spans="36:36" x14ac:dyDescent="0.3">
      <c r="AJ217" s="40"/>
    </row>
    <row r="218" spans="36:36" x14ac:dyDescent="0.3">
      <c r="AJ218" s="40"/>
    </row>
    <row r="219" spans="36:36" x14ac:dyDescent="0.3">
      <c r="AJ219" s="40"/>
    </row>
    <row r="220" spans="36:36" x14ac:dyDescent="0.3">
      <c r="AJ220" s="40"/>
    </row>
    <row r="221" spans="36:36" x14ac:dyDescent="0.3">
      <c r="AJ221" s="40"/>
    </row>
    <row r="222" spans="36:36" x14ac:dyDescent="0.3">
      <c r="AJ222" s="40"/>
    </row>
    <row r="223" spans="36:36" x14ac:dyDescent="0.3">
      <c r="AJ223" s="40"/>
    </row>
    <row r="224" spans="36:36" x14ac:dyDescent="0.3">
      <c r="AJ224" s="40"/>
    </row>
    <row r="225" spans="36:36" x14ac:dyDescent="0.3">
      <c r="AJ225" s="40"/>
    </row>
    <row r="226" spans="36:36" x14ac:dyDescent="0.3">
      <c r="AJ226" s="40"/>
    </row>
    <row r="227" spans="36:36" x14ac:dyDescent="0.3">
      <c r="AJ227" s="40"/>
    </row>
    <row r="228" spans="36:36" x14ac:dyDescent="0.3">
      <c r="AJ228" s="40"/>
    </row>
    <row r="229" spans="36:36" x14ac:dyDescent="0.3">
      <c r="AJ229" s="40"/>
    </row>
    <row r="230" spans="36:36" x14ac:dyDescent="0.3">
      <c r="AJ230" s="40"/>
    </row>
    <row r="231" spans="36:36" x14ac:dyDescent="0.3">
      <c r="AJ231" s="40"/>
    </row>
    <row r="232" spans="36:36" x14ac:dyDescent="0.3">
      <c r="AJ232" s="40"/>
    </row>
    <row r="233" spans="36:36" x14ac:dyDescent="0.3">
      <c r="AJ233" s="40"/>
    </row>
    <row r="234" spans="36:36" x14ac:dyDescent="0.3">
      <c r="AJ234" s="40"/>
    </row>
    <row r="235" spans="36:36" x14ac:dyDescent="0.3">
      <c r="AJ235" s="40"/>
    </row>
    <row r="236" spans="36:36" x14ac:dyDescent="0.3">
      <c r="AJ236" s="40"/>
    </row>
    <row r="237" spans="36:36" x14ac:dyDescent="0.3">
      <c r="AJ237" s="40"/>
    </row>
    <row r="238" spans="36:36" x14ac:dyDescent="0.3">
      <c r="AJ238" s="40"/>
    </row>
    <row r="239" spans="36:36" x14ac:dyDescent="0.3">
      <c r="AJ239" s="40"/>
    </row>
    <row r="240" spans="36:36" x14ac:dyDescent="0.3">
      <c r="AJ240" s="40"/>
    </row>
    <row r="241" spans="36:36" x14ac:dyDescent="0.3">
      <c r="AJ241" s="40"/>
    </row>
    <row r="242" spans="36:36" x14ac:dyDescent="0.3">
      <c r="AJ242" s="40"/>
    </row>
    <row r="243" spans="36:36" x14ac:dyDescent="0.3">
      <c r="AJ243" s="40"/>
    </row>
    <row r="244" spans="36:36" x14ac:dyDescent="0.3">
      <c r="AJ244" s="40"/>
    </row>
    <row r="245" spans="36:36" x14ac:dyDescent="0.3">
      <c r="AJ245" s="40"/>
    </row>
    <row r="246" spans="36:36" x14ac:dyDescent="0.3">
      <c r="AJ246" s="40"/>
    </row>
    <row r="247" spans="36:36" x14ac:dyDescent="0.3">
      <c r="AJ247" s="40"/>
    </row>
    <row r="248" spans="36:36" x14ac:dyDescent="0.3">
      <c r="AJ248" s="40"/>
    </row>
    <row r="249" spans="36:36" x14ac:dyDescent="0.3">
      <c r="AJ249" s="40"/>
    </row>
    <row r="250" spans="36:36" x14ac:dyDescent="0.3">
      <c r="AJ250" s="40"/>
    </row>
    <row r="251" spans="36:36" x14ac:dyDescent="0.3">
      <c r="AJ251" s="40"/>
    </row>
    <row r="252" spans="36:36" x14ac:dyDescent="0.3">
      <c r="AJ252" s="40"/>
    </row>
    <row r="253" spans="36:36" x14ac:dyDescent="0.3">
      <c r="AJ253" s="40"/>
    </row>
    <row r="254" spans="36:36" x14ac:dyDescent="0.3">
      <c r="AJ254" s="40"/>
    </row>
    <row r="255" spans="36:36" x14ac:dyDescent="0.3">
      <c r="AJ255" s="40"/>
    </row>
    <row r="256" spans="36:36" x14ac:dyDescent="0.3">
      <c r="AJ256" s="40"/>
    </row>
    <row r="257" spans="36:36" x14ac:dyDescent="0.3">
      <c r="AJ257" s="40"/>
    </row>
    <row r="258" spans="36:36" x14ac:dyDescent="0.3">
      <c r="AJ258" s="40"/>
    </row>
    <row r="259" spans="36:36" x14ac:dyDescent="0.3">
      <c r="AJ259" s="40"/>
    </row>
    <row r="260" spans="36:36" x14ac:dyDescent="0.3">
      <c r="AJ260" s="40"/>
    </row>
    <row r="261" spans="36:36" x14ac:dyDescent="0.3">
      <c r="AJ261" s="40"/>
    </row>
    <row r="262" spans="36:36" x14ac:dyDescent="0.3">
      <c r="AJ262" s="40"/>
    </row>
    <row r="263" spans="36:36" x14ac:dyDescent="0.3">
      <c r="AJ263" s="40"/>
    </row>
    <row r="264" spans="36:36" x14ac:dyDescent="0.3">
      <c r="AJ264" s="40"/>
    </row>
    <row r="265" spans="36:36" x14ac:dyDescent="0.3">
      <c r="AJ265" s="40"/>
    </row>
    <row r="266" spans="36:36" x14ac:dyDescent="0.3">
      <c r="AJ266" s="40"/>
    </row>
    <row r="267" spans="36:36" x14ac:dyDescent="0.3">
      <c r="AJ267" s="40"/>
    </row>
    <row r="268" spans="36:36" x14ac:dyDescent="0.3">
      <c r="AJ268" s="40"/>
    </row>
    <row r="269" spans="36:36" x14ac:dyDescent="0.3">
      <c r="AJ269" s="40"/>
    </row>
    <row r="270" spans="36:36" x14ac:dyDescent="0.3">
      <c r="AJ270" s="40"/>
    </row>
    <row r="271" spans="36:36" x14ac:dyDescent="0.3">
      <c r="AJ271" s="40"/>
    </row>
    <row r="272" spans="36:36" x14ac:dyDescent="0.3">
      <c r="AJ272" s="40"/>
    </row>
    <row r="273" spans="36:36" x14ac:dyDescent="0.3">
      <c r="AJ273" s="40"/>
    </row>
    <row r="274" spans="36:36" x14ac:dyDescent="0.3">
      <c r="AJ274" s="40"/>
    </row>
    <row r="275" spans="36:36" x14ac:dyDescent="0.3">
      <c r="AJ275" s="40"/>
    </row>
    <row r="276" spans="36:36" x14ac:dyDescent="0.3">
      <c r="AJ276" s="40"/>
    </row>
    <row r="277" spans="36:36" x14ac:dyDescent="0.3">
      <c r="AJ277" s="40"/>
    </row>
    <row r="278" spans="36:36" x14ac:dyDescent="0.3">
      <c r="AJ278" s="40"/>
    </row>
    <row r="279" spans="36:36" x14ac:dyDescent="0.3">
      <c r="AJ279" s="40"/>
    </row>
    <row r="280" spans="36:36" x14ac:dyDescent="0.3">
      <c r="AJ280" s="40"/>
    </row>
    <row r="281" spans="36:36" x14ac:dyDescent="0.3">
      <c r="AJ281" s="40"/>
    </row>
    <row r="282" spans="36:36" x14ac:dyDescent="0.3">
      <c r="AJ282" s="40"/>
    </row>
    <row r="283" spans="36:36" x14ac:dyDescent="0.3">
      <c r="AJ283" s="40"/>
    </row>
    <row r="284" spans="36:36" x14ac:dyDescent="0.3">
      <c r="AJ284" s="40"/>
    </row>
    <row r="285" spans="36:36" x14ac:dyDescent="0.3">
      <c r="AJ285" s="40"/>
    </row>
    <row r="286" spans="36:36" x14ac:dyDescent="0.3">
      <c r="AJ286" s="40"/>
    </row>
    <row r="287" spans="36:36" x14ac:dyDescent="0.3">
      <c r="AJ287" s="40"/>
    </row>
    <row r="288" spans="36:36" x14ac:dyDescent="0.3">
      <c r="AJ288" s="40"/>
    </row>
    <row r="289" spans="36:36" x14ac:dyDescent="0.3">
      <c r="AJ289" s="40"/>
    </row>
    <row r="290" spans="36:36" x14ac:dyDescent="0.3">
      <c r="AJ290" s="40"/>
    </row>
    <row r="291" spans="36:36" x14ac:dyDescent="0.3">
      <c r="AJ291" s="40"/>
    </row>
    <row r="292" spans="36:36" x14ac:dyDescent="0.3">
      <c r="AJ292" s="40"/>
    </row>
    <row r="293" spans="36:36" x14ac:dyDescent="0.3">
      <c r="AJ293" s="40"/>
    </row>
    <row r="294" spans="36:36" x14ac:dyDescent="0.3">
      <c r="AJ294" s="40"/>
    </row>
    <row r="295" spans="36:36" x14ac:dyDescent="0.3">
      <c r="AJ295" s="40"/>
    </row>
    <row r="296" spans="36:36" x14ac:dyDescent="0.3">
      <c r="AJ296" s="40"/>
    </row>
    <row r="297" spans="36:36" x14ac:dyDescent="0.3">
      <c r="AJ297" s="40"/>
    </row>
    <row r="298" spans="36:36" x14ac:dyDescent="0.3">
      <c r="AJ298" s="40"/>
    </row>
    <row r="299" spans="36:36" x14ac:dyDescent="0.3">
      <c r="AJ299" s="40"/>
    </row>
    <row r="300" spans="36:36" x14ac:dyDescent="0.3">
      <c r="AJ300" s="40"/>
    </row>
    <row r="301" spans="36:36" x14ac:dyDescent="0.3">
      <c r="AJ301" s="40"/>
    </row>
    <row r="302" spans="36:36" x14ac:dyDescent="0.3">
      <c r="AJ302" s="40"/>
    </row>
    <row r="303" spans="36:36" x14ac:dyDescent="0.3">
      <c r="AJ303" s="40"/>
    </row>
    <row r="304" spans="36:36" x14ac:dyDescent="0.3">
      <c r="AJ304" s="40"/>
    </row>
    <row r="305" spans="36:36" x14ac:dyDescent="0.3">
      <c r="AJ305" s="40"/>
    </row>
    <row r="306" spans="36:36" x14ac:dyDescent="0.3">
      <c r="AJ306" s="40"/>
    </row>
    <row r="307" spans="36:36" x14ac:dyDescent="0.3">
      <c r="AJ307" s="40"/>
    </row>
    <row r="308" spans="36:36" x14ac:dyDescent="0.3">
      <c r="AJ308" s="40"/>
    </row>
    <row r="309" spans="36:36" x14ac:dyDescent="0.3">
      <c r="AJ309" s="40"/>
    </row>
    <row r="310" spans="36:36" x14ac:dyDescent="0.3">
      <c r="AJ310" s="40"/>
    </row>
    <row r="311" spans="36:36" x14ac:dyDescent="0.3">
      <c r="AJ311" s="40"/>
    </row>
    <row r="312" spans="36:36" x14ac:dyDescent="0.3">
      <c r="AJ312" s="40"/>
    </row>
    <row r="313" spans="36:36" x14ac:dyDescent="0.3">
      <c r="AJ313" s="40"/>
    </row>
    <row r="314" spans="36:36" x14ac:dyDescent="0.3">
      <c r="AJ314" s="40"/>
    </row>
    <row r="315" spans="36:36" x14ac:dyDescent="0.3">
      <c r="AJ315" s="40"/>
    </row>
    <row r="316" spans="36:36" x14ac:dyDescent="0.3">
      <c r="AJ316" s="40"/>
    </row>
    <row r="317" spans="36:36" x14ac:dyDescent="0.3">
      <c r="AJ317" s="40"/>
    </row>
    <row r="318" spans="36:36" x14ac:dyDescent="0.3">
      <c r="AJ318" s="40"/>
    </row>
    <row r="319" spans="36:36" x14ac:dyDescent="0.3">
      <c r="AJ319" s="40"/>
    </row>
    <row r="320" spans="36:36" x14ac:dyDescent="0.3">
      <c r="AJ320" s="40"/>
    </row>
    <row r="321" spans="36:36" x14ac:dyDescent="0.3">
      <c r="AJ321" s="40"/>
    </row>
    <row r="322" spans="36:36" x14ac:dyDescent="0.3">
      <c r="AJ322" s="40"/>
    </row>
    <row r="323" spans="36:36" x14ac:dyDescent="0.3">
      <c r="AJ323" s="40"/>
    </row>
    <row r="324" spans="36:36" x14ac:dyDescent="0.3">
      <c r="AJ324" s="40"/>
    </row>
    <row r="325" spans="36:36" x14ac:dyDescent="0.3">
      <c r="AJ325" s="40"/>
    </row>
    <row r="326" spans="36:36" x14ac:dyDescent="0.3">
      <c r="AJ326" s="40"/>
    </row>
    <row r="327" spans="36:36" x14ac:dyDescent="0.3">
      <c r="AJ327" s="40"/>
    </row>
    <row r="328" spans="36:36" x14ac:dyDescent="0.3">
      <c r="AJ328" s="40"/>
    </row>
    <row r="329" spans="36:36" x14ac:dyDescent="0.3">
      <c r="AJ329" s="40"/>
    </row>
    <row r="330" spans="36:36" x14ac:dyDescent="0.3">
      <c r="AJ330" s="40"/>
    </row>
    <row r="331" spans="36:36" x14ac:dyDescent="0.3">
      <c r="AJ331" s="40"/>
    </row>
    <row r="332" spans="36:36" x14ac:dyDescent="0.3">
      <c r="AJ332" s="40"/>
    </row>
    <row r="333" spans="36:36" x14ac:dyDescent="0.3">
      <c r="AJ333" s="40"/>
    </row>
    <row r="334" spans="36:36" x14ac:dyDescent="0.3">
      <c r="AJ334" s="40"/>
    </row>
    <row r="335" spans="36:36" x14ac:dyDescent="0.3">
      <c r="AJ335" s="40"/>
    </row>
    <row r="336" spans="36:36" x14ac:dyDescent="0.3">
      <c r="AJ336" s="40"/>
    </row>
    <row r="337" spans="36:36" x14ac:dyDescent="0.3">
      <c r="AJ337" s="40"/>
    </row>
    <row r="338" spans="36:36" x14ac:dyDescent="0.3">
      <c r="AJ338" s="40"/>
    </row>
    <row r="339" spans="36:36" x14ac:dyDescent="0.3">
      <c r="AJ339" s="40"/>
    </row>
    <row r="340" spans="36:36" x14ac:dyDescent="0.3">
      <c r="AJ340" s="40"/>
    </row>
    <row r="341" spans="36:36" x14ac:dyDescent="0.3">
      <c r="AJ341" s="40"/>
    </row>
    <row r="342" spans="36:36" x14ac:dyDescent="0.3">
      <c r="AJ342" s="40"/>
    </row>
    <row r="343" spans="36:36" x14ac:dyDescent="0.3">
      <c r="AJ343" s="40"/>
    </row>
    <row r="344" spans="36:36" x14ac:dyDescent="0.3">
      <c r="AJ344" s="40"/>
    </row>
    <row r="345" spans="36:36" x14ac:dyDescent="0.3">
      <c r="AJ345" s="40"/>
    </row>
    <row r="346" spans="36:36" x14ac:dyDescent="0.3">
      <c r="AJ346" s="40"/>
    </row>
    <row r="347" spans="36:36" x14ac:dyDescent="0.3">
      <c r="AJ347" s="40"/>
    </row>
    <row r="348" spans="36:36" x14ac:dyDescent="0.3">
      <c r="AJ348" s="40"/>
    </row>
    <row r="349" spans="36:36" x14ac:dyDescent="0.3">
      <c r="AJ349" s="40"/>
    </row>
    <row r="350" spans="36:36" x14ac:dyDescent="0.3">
      <c r="AJ350" s="40"/>
    </row>
    <row r="351" spans="36:36" x14ac:dyDescent="0.3">
      <c r="AJ351" s="40"/>
    </row>
    <row r="352" spans="36:36" x14ac:dyDescent="0.3">
      <c r="AJ352" s="40"/>
    </row>
    <row r="353" spans="36:36" x14ac:dyDescent="0.3">
      <c r="AJ353" s="40"/>
    </row>
    <row r="354" spans="36:36" x14ac:dyDescent="0.3">
      <c r="AJ354" s="40"/>
    </row>
    <row r="355" spans="36:36" x14ac:dyDescent="0.3">
      <c r="AJ355" s="40"/>
    </row>
    <row r="356" spans="36:36" x14ac:dyDescent="0.3">
      <c r="AJ356" s="40"/>
    </row>
    <row r="357" spans="36:36" x14ac:dyDescent="0.3">
      <c r="AJ357" s="40"/>
    </row>
    <row r="358" spans="36:36" x14ac:dyDescent="0.3">
      <c r="AJ358" s="40"/>
    </row>
    <row r="359" spans="36:36" x14ac:dyDescent="0.3">
      <c r="AJ359" s="40"/>
    </row>
    <row r="360" spans="36:36" x14ac:dyDescent="0.3">
      <c r="AJ360" s="40"/>
    </row>
    <row r="361" spans="36:36" x14ac:dyDescent="0.3">
      <c r="AJ361" s="40"/>
    </row>
    <row r="362" spans="36:36" x14ac:dyDescent="0.3">
      <c r="AJ362" s="40"/>
    </row>
    <row r="363" spans="36:36" x14ac:dyDescent="0.3">
      <c r="AJ363" s="40"/>
    </row>
    <row r="364" spans="36:36" x14ac:dyDescent="0.3">
      <c r="AJ364" s="40"/>
    </row>
    <row r="365" spans="36:36" x14ac:dyDescent="0.3">
      <c r="AJ365" s="40"/>
    </row>
    <row r="366" spans="36:36" x14ac:dyDescent="0.3">
      <c r="AJ366" s="40"/>
    </row>
    <row r="367" spans="36:36" x14ac:dyDescent="0.3">
      <c r="AJ367" s="40"/>
    </row>
    <row r="368" spans="36:36" x14ac:dyDescent="0.3">
      <c r="AJ368" s="40"/>
    </row>
    <row r="369" spans="36:36" x14ac:dyDescent="0.3">
      <c r="AJ369" s="40"/>
    </row>
    <row r="370" spans="36:36" x14ac:dyDescent="0.3">
      <c r="AJ370" s="40"/>
    </row>
    <row r="371" spans="36:36" x14ac:dyDescent="0.3">
      <c r="AJ371" s="40"/>
    </row>
    <row r="372" spans="36:36" x14ac:dyDescent="0.3">
      <c r="AJ372" s="40"/>
    </row>
    <row r="373" spans="36:36" x14ac:dyDescent="0.3">
      <c r="AJ373" s="40"/>
    </row>
    <row r="374" spans="36:36" x14ac:dyDescent="0.3">
      <c r="AJ374" s="40"/>
    </row>
    <row r="375" spans="36:36" x14ac:dyDescent="0.3">
      <c r="AJ375" s="40"/>
    </row>
    <row r="376" spans="36:36" x14ac:dyDescent="0.3">
      <c r="AJ376" s="40"/>
    </row>
    <row r="377" spans="36:36" x14ac:dyDescent="0.3">
      <c r="AJ377" s="40"/>
    </row>
    <row r="378" spans="36:36" x14ac:dyDescent="0.3">
      <c r="AJ378" s="40"/>
    </row>
    <row r="379" spans="36:36" x14ac:dyDescent="0.3">
      <c r="AJ379" s="40"/>
    </row>
    <row r="380" spans="36:36" x14ac:dyDescent="0.3">
      <c r="AJ380" s="40"/>
    </row>
    <row r="381" spans="36:36" x14ac:dyDescent="0.3">
      <c r="AJ381" s="40"/>
    </row>
    <row r="382" spans="36:36" x14ac:dyDescent="0.3">
      <c r="AJ382" s="40"/>
    </row>
    <row r="383" spans="36:36" x14ac:dyDescent="0.3">
      <c r="AJ383" s="40"/>
    </row>
    <row r="384" spans="36:36" x14ac:dyDescent="0.3">
      <c r="AJ384" s="40"/>
    </row>
    <row r="385" spans="36:36" x14ac:dyDescent="0.3">
      <c r="AJ385" s="40"/>
    </row>
    <row r="386" spans="36:36" x14ac:dyDescent="0.3">
      <c r="AJ386" s="40"/>
    </row>
    <row r="387" spans="36:36" x14ac:dyDescent="0.3">
      <c r="AJ387" s="40"/>
    </row>
    <row r="388" spans="36:36" x14ac:dyDescent="0.3">
      <c r="AJ388" s="40"/>
    </row>
    <row r="389" spans="36:36" x14ac:dyDescent="0.3">
      <c r="AJ389" s="40"/>
    </row>
    <row r="390" spans="36:36" x14ac:dyDescent="0.3">
      <c r="AJ390" s="40"/>
    </row>
    <row r="391" spans="36:36" x14ac:dyDescent="0.3">
      <c r="AJ391" s="40"/>
    </row>
    <row r="392" spans="36:36" x14ac:dyDescent="0.3">
      <c r="AJ392" s="40"/>
    </row>
    <row r="393" spans="36:36" x14ac:dyDescent="0.3">
      <c r="AJ393" s="40"/>
    </row>
    <row r="394" spans="36:36" x14ac:dyDescent="0.3">
      <c r="AJ394" s="40"/>
    </row>
    <row r="395" spans="36:36" x14ac:dyDescent="0.3">
      <c r="AJ395" s="40"/>
    </row>
    <row r="396" spans="36:36" x14ac:dyDescent="0.3">
      <c r="AJ396" s="40"/>
    </row>
    <row r="397" spans="36:36" x14ac:dyDescent="0.3">
      <c r="AJ397" s="40"/>
    </row>
    <row r="398" spans="36:36" x14ac:dyDescent="0.3">
      <c r="AJ398" s="40"/>
    </row>
    <row r="399" spans="36:36" x14ac:dyDescent="0.3">
      <c r="AJ399" s="40"/>
    </row>
    <row r="400" spans="36:36" x14ac:dyDescent="0.3">
      <c r="AJ400" s="40"/>
    </row>
    <row r="401" spans="36:36" x14ac:dyDescent="0.3">
      <c r="AJ401" s="40"/>
    </row>
    <row r="402" spans="36:36" x14ac:dyDescent="0.3">
      <c r="AJ402" s="40"/>
    </row>
    <row r="403" spans="36:36" x14ac:dyDescent="0.3">
      <c r="AJ403" s="40"/>
    </row>
    <row r="404" spans="36:36" x14ac:dyDescent="0.3">
      <c r="AJ404" s="40"/>
    </row>
    <row r="405" spans="36:36" x14ac:dyDescent="0.3">
      <c r="AJ405" s="40"/>
    </row>
    <row r="406" spans="36:36" x14ac:dyDescent="0.3">
      <c r="AJ406" s="40"/>
    </row>
    <row r="407" spans="36:36" x14ac:dyDescent="0.3">
      <c r="AJ407" s="40"/>
    </row>
    <row r="408" spans="36:36" x14ac:dyDescent="0.3">
      <c r="AJ408" s="40"/>
    </row>
    <row r="409" spans="36:36" x14ac:dyDescent="0.3">
      <c r="AJ409" s="40"/>
    </row>
    <row r="410" spans="36:36" x14ac:dyDescent="0.3">
      <c r="AJ410" s="40"/>
    </row>
    <row r="411" spans="36:36" x14ac:dyDescent="0.3">
      <c r="AJ411" s="40"/>
    </row>
    <row r="412" spans="36:36" x14ac:dyDescent="0.3">
      <c r="AJ412" s="40"/>
    </row>
    <row r="413" spans="36:36" x14ac:dyDescent="0.3">
      <c r="AJ413" s="40"/>
    </row>
    <row r="414" spans="36:36" x14ac:dyDescent="0.3">
      <c r="AJ414" s="40"/>
    </row>
    <row r="415" spans="36:36" x14ac:dyDescent="0.3">
      <c r="AJ415" s="40"/>
    </row>
    <row r="416" spans="36:36" x14ac:dyDescent="0.3">
      <c r="AJ416" s="40"/>
    </row>
    <row r="417" spans="36:36" x14ac:dyDescent="0.3">
      <c r="AJ417" s="40"/>
    </row>
    <row r="418" spans="36:36" x14ac:dyDescent="0.3">
      <c r="AJ418" s="40"/>
    </row>
    <row r="419" spans="36:36" x14ac:dyDescent="0.3">
      <c r="AJ419" s="40"/>
    </row>
    <row r="420" spans="36:36" x14ac:dyDescent="0.3">
      <c r="AJ420" s="40"/>
    </row>
    <row r="421" spans="36:36" x14ac:dyDescent="0.3">
      <c r="AJ421" s="40"/>
    </row>
    <row r="422" spans="36:36" x14ac:dyDescent="0.3">
      <c r="AJ422" s="40"/>
    </row>
    <row r="423" spans="36:36" x14ac:dyDescent="0.3">
      <c r="AJ423" s="40"/>
    </row>
    <row r="424" spans="36:36" x14ac:dyDescent="0.3">
      <c r="AJ424" s="40"/>
    </row>
    <row r="425" spans="36:36" x14ac:dyDescent="0.3">
      <c r="AJ425" s="40"/>
    </row>
    <row r="426" spans="36:36" x14ac:dyDescent="0.3">
      <c r="AJ426" s="40"/>
    </row>
    <row r="427" spans="36:36" x14ac:dyDescent="0.3">
      <c r="AJ427" s="40"/>
    </row>
    <row r="428" spans="36:36" x14ac:dyDescent="0.3">
      <c r="AJ428" s="40"/>
    </row>
    <row r="429" spans="36:36" x14ac:dyDescent="0.3">
      <c r="AJ429" s="40"/>
    </row>
    <row r="430" spans="36:36" x14ac:dyDescent="0.3">
      <c r="AJ430" s="40"/>
    </row>
    <row r="431" spans="36:36" x14ac:dyDescent="0.3">
      <c r="AJ431" s="40"/>
    </row>
    <row r="432" spans="36:36" x14ac:dyDescent="0.3">
      <c r="AJ432" s="40"/>
    </row>
    <row r="433" spans="36:36" x14ac:dyDescent="0.3">
      <c r="AJ433" s="40"/>
    </row>
    <row r="434" spans="36:36" x14ac:dyDescent="0.3">
      <c r="AJ434" s="40"/>
    </row>
    <row r="435" spans="36:36" x14ac:dyDescent="0.3">
      <c r="AJ435" s="40"/>
    </row>
    <row r="436" spans="36:36" x14ac:dyDescent="0.3">
      <c r="AJ436" s="40"/>
    </row>
    <row r="437" spans="36:36" x14ac:dyDescent="0.3">
      <c r="AJ437" s="40"/>
    </row>
    <row r="438" spans="36:36" x14ac:dyDescent="0.3">
      <c r="AJ438" s="40"/>
    </row>
    <row r="439" spans="36:36" x14ac:dyDescent="0.3">
      <c r="AJ439" s="40"/>
    </row>
    <row r="440" spans="36:36" x14ac:dyDescent="0.3">
      <c r="AJ440" s="40"/>
    </row>
    <row r="441" spans="36:36" x14ac:dyDescent="0.3">
      <c r="AJ441" s="40"/>
    </row>
    <row r="442" spans="36:36" x14ac:dyDescent="0.3">
      <c r="AJ442" s="40"/>
    </row>
    <row r="443" spans="36:36" x14ac:dyDescent="0.3">
      <c r="AJ443" s="40"/>
    </row>
    <row r="444" spans="36:36" x14ac:dyDescent="0.3">
      <c r="AJ444" s="40"/>
    </row>
    <row r="445" spans="36:36" x14ac:dyDescent="0.3">
      <c r="AJ445" s="40"/>
    </row>
    <row r="446" spans="36:36" x14ac:dyDescent="0.3">
      <c r="AJ446" s="40"/>
    </row>
    <row r="447" spans="36:36" x14ac:dyDescent="0.3">
      <c r="AJ447" s="40"/>
    </row>
    <row r="448" spans="36:36" x14ac:dyDescent="0.3">
      <c r="AJ448" s="40"/>
    </row>
    <row r="449" spans="36:36" x14ac:dyDescent="0.3">
      <c r="AJ449" s="40"/>
    </row>
    <row r="450" spans="36:36" x14ac:dyDescent="0.3">
      <c r="AJ450" s="40"/>
    </row>
    <row r="451" spans="36:36" x14ac:dyDescent="0.3">
      <c r="AJ451" s="40"/>
    </row>
    <row r="452" spans="36:36" x14ac:dyDescent="0.3">
      <c r="AJ452" s="40"/>
    </row>
    <row r="453" spans="36:36" x14ac:dyDescent="0.3">
      <c r="AJ453" s="40"/>
    </row>
    <row r="454" spans="36:36" x14ac:dyDescent="0.3">
      <c r="AJ454" s="40"/>
    </row>
    <row r="455" spans="36:36" x14ac:dyDescent="0.3">
      <c r="AJ455" s="40"/>
    </row>
    <row r="456" spans="36:36" x14ac:dyDescent="0.3">
      <c r="AJ456" s="40"/>
    </row>
    <row r="457" spans="36:36" x14ac:dyDescent="0.3">
      <c r="AJ457" s="40"/>
    </row>
    <row r="458" spans="36:36" x14ac:dyDescent="0.3">
      <c r="AJ458" s="40"/>
    </row>
    <row r="459" spans="36:36" x14ac:dyDescent="0.3">
      <c r="AJ459" s="40"/>
    </row>
    <row r="460" spans="36:36" x14ac:dyDescent="0.3">
      <c r="AJ460" s="40"/>
    </row>
    <row r="461" spans="36:36" x14ac:dyDescent="0.3">
      <c r="AJ461" s="40"/>
    </row>
    <row r="462" spans="36:36" x14ac:dyDescent="0.3">
      <c r="AJ462" s="40"/>
    </row>
    <row r="463" spans="36:36" x14ac:dyDescent="0.3">
      <c r="AJ463" s="40"/>
    </row>
    <row r="464" spans="36:36" x14ac:dyDescent="0.3">
      <c r="AJ464" s="40"/>
    </row>
    <row r="465" spans="36:36" x14ac:dyDescent="0.3">
      <c r="AJ465" s="40"/>
    </row>
    <row r="466" spans="36:36" x14ac:dyDescent="0.3">
      <c r="AJ466" s="40"/>
    </row>
    <row r="467" spans="36:36" x14ac:dyDescent="0.3">
      <c r="AJ467" s="40"/>
    </row>
    <row r="468" spans="36:36" x14ac:dyDescent="0.3">
      <c r="AJ468" s="40"/>
    </row>
    <row r="469" spans="36:36" x14ac:dyDescent="0.3">
      <c r="AJ469" s="40"/>
    </row>
    <row r="470" spans="36:36" x14ac:dyDescent="0.3">
      <c r="AJ470" s="40"/>
    </row>
    <row r="471" spans="36:36" x14ac:dyDescent="0.3">
      <c r="AJ471" s="40"/>
    </row>
    <row r="472" spans="36:36" x14ac:dyDescent="0.3">
      <c r="AJ472" s="40"/>
    </row>
    <row r="473" spans="36:36" x14ac:dyDescent="0.3">
      <c r="AJ473" s="40"/>
    </row>
    <row r="474" spans="36:36" x14ac:dyDescent="0.3">
      <c r="AJ474" s="40"/>
    </row>
    <row r="475" spans="36:36" x14ac:dyDescent="0.3">
      <c r="AJ475" s="40"/>
    </row>
    <row r="476" spans="36:36" x14ac:dyDescent="0.3">
      <c r="AJ476" s="40"/>
    </row>
    <row r="477" spans="36:36" x14ac:dyDescent="0.3">
      <c r="AJ477" s="40"/>
    </row>
    <row r="478" spans="36:36" x14ac:dyDescent="0.3">
      <c r="AJ478" s="40"/>
    </row>
    <row r="479" spans="36:36" x14ac:dyDescent="0.3">
      <c r="AJ479" s="40"/>
    </row>
    <row r="480" spans="36:36" x14ac:dyDescent="0.3">
      <c r="AJ480" s="40"/>
    </row>
    <row r="481" spans="36:36" x14ac:dyDescent="0.3">
      <c r="AJ481" s="40"/>
    </row>
    <row r="482" spans="36:36" x14ac:dyDescent="0.3">
      <c r="AJ482" s="40"/>
    </row>
    <row r="483" spans="36:36" x14ac:dyDescent="0.3">
      <c r="AJ483" s="40"/>
    </row>
    <row r="484" spans="36:36" x14ac:dyDescent="0.3">
      <c r="AJ484" s="40"/>
    </row>
    <row r="485" spans="36:36" x14ac:dyDescent="0.3">
      <c r="AJ485" s="40"/>
    </row>
    <row r="486" spans="36:36" x14ac:dyDescent="0.3">
      <c r="AJ486" s="40"/>
    </row>
    <row r="487" spans="36:36" x14ac:dyDescent="0.3">
      <c r="AJ487" s="40"/>
    </row>
    <row r="488" spans="36:36" x14ac:dyDescent="0.3">
      <c r="AJ488" s="40"/>
    </row>
    <row r="489" spans="36:36" x14ac:dyDescent="0.3">
      <c r="AJ489" s="40"/>
    </row>
    <row r="490" spans="36:36" x14ac:dyDescent="0.3">
      <c r="AJ490" s="40"/>
    </row>
    <row r="491" spans="36:36" x14ac:dyDescent="0.3">
      <c r="AJ491" s="40"/>
    </row>
    <row r="492" spans="36:36" x14ac:dyDescent="0.3">
      <c r="AJ492" s="40"/>
    </row>
    <row r="493" spans="36:36" x14ac:dyDescent="0.3">
      <c r="AJ493" s="40"/>
    </row>
    <row r="494" spans="36:36" x14ac:dyDescent="0.3">
      <c r="AJ494" s="40"/>
    </row>
    <row r="495" spans="36:36" x14ac:dyDescent="0.3">
      <c r="AJ495" s="40"/>
    </row>
    <row r="496" spans="36:36" x14ac:dyDescent="0.3">
      <c r="AJ496" s="40"/>
    </row>
    <row r="497" spans="36:36" x14ac:dyDescent="0.3">
      <c r="AJ497" s="40"/>
    </row>
    <row r="498" spans="36:36" x14ac:dyDescent="0.3">
      <c r="AJ498" s="40"/>
    </row>
    <row r="499" spans="36:36" x14ac:dyDescent="0.3">
      <c r="AJ499" s="40"/>
    </row>
    <row r="500" spans="36:36" x14ac:dyDescent="0.3">
      <c r="AJ500" s="40"/>
    </row>
    <row r="501" spans="36:36" x14ac:dyDescent="0.3">
      <c r="AJ501" s="40"/>
    </row>
    <row r="502" spans="36:36" x14ac:dyDescent="0.3">
      <c r="AJ502" s="40"/>
    </row>
    <row r="503" spans="36:36" x14ac:dyDescent="0.3">
      <c r="AJ503" s="40"/>
    </row>
    <row r="504" spans="36:36" x14ac:dyDescent="0.3">
      <c r="AJ504" s="40"/>
    </row>
    <row r="505" spans="36:36" x14ac:dyDescent="0.3">
      <c r="AJ505" s="40"/>
    </row>
    <row r="506" spans="36:36" x14ac:dyDescent="0.3">
      <c r="AJ506" s="40"/>
    </row>
    <row r="507" spans="36:36" x14ac:dyDescent="0.3">
      <c r="AJ507" s="40"/>
    </row>
    <row r="508" spans="36:36" x14ac:dyDescent="0.3">
      <c r="AJ508" s="40"/>
    </row>
    <row r="509" spans="36:36" x14ac:dyDescent="0.3">
      <c r="AJ509" s="40"/>
    </row>
    <row r="510" spans="36:36" x14ac:dyDescent="0.3">
      <c r="AJ510" s="40"/>
    </row>
    <row r="511" spans="36:36" x14ac:dyDescent="0.3">
      <c r="AJ511" s="40"/>
    </row>
    <row r="512" spans="36:36" x14ac:dyDescent="0.3">
      <c r="AJ512" s="40"/>
    </row>
    <row r="513" spans="36:36" x14ac:dyDescent="0.3">
      <c r="AJ513" s="40"/>
    </row>
    <row r="514" spans="36:36" x14ac:dyDescent="0.3">
      <c r="AJ514" s="40"/>
    </row>
    <row r="515" spans="36:36" x14ac:dyDescent="0.3">
      <c r="AJ515" s="40"/>
    </row>
    <row r="516" spans="36:36" x14ac:dyDescent="0.3">
      <c r="AJ516" s="40"/>
    </row>
    <row r="517" spans="36:36" x14ac:dyDescent="0.3">
      <c r="AJ517" s="40"/>
    </row>
    <row r="518" spans="36:36" x14ac:dyDescent="0.3">
      <c r="AJ518" s="40"/>
    </row>
    <row r="519" spans="36:36" x14ac:dyDescent="0.3">
      <c r="AJ519" s="40"/>
    </row>
    <row r="520" spans="36:36" x14ac:dyDescent="0.3">
      <c r="AJ520" s="40"/>
    </row>
    <row r="521" spans="36:36" x14ac:dyDescent="0.3">
      <c r="AJ521" s="40"/>
    </row>
    <row r="522" spans="36:36" x14ac:dyDescent="0.3">
      <c r="AJ522" s="40"/>
    </row>
    <row r="523" spans="36:36" x14ac:dyDescent="0.3">
      <c r="AJ523" s="40"/>
    </row>
    <row r="524" spans="36:36" x14ac:dyDescent="0.3">
      <c r="AJ524" s="40"/>
    </row>
    <row r="525" spans="36:36" x14ac:dyDescent="0.3">
      <c r="AJ525" s="40"/>
    </row>
    <row r="526" spans="36:36" x14ac:dyDescent="0.3">
      <c r="AJ526" s="40"/>
    </row>
    <row r="527" spans="36:36" x14ac:dyDescent="0.3">
      <c r="AJ527" s="40"/>
    </row>
    <row r="528" spans="36:36" x14ac:dyDescent="0.3">
      <c r="AJ528" s="40"/>
    </row>
    <row r="529" spans="36:36" x14ac:dyDescent="0.3">
      <c r="AJ529" s="40"/>
    </row>
    <row r="530" spans="36:36" x14ac:dyDescent="0.3">
      <c r="AJ530" s="40"/>
    </row>
    <row r="531" spans="36:36" x14ac:dyDescent="0.3">
      <c r="AJ531" s="40"/>
    </row>
    <row r="532" spans="36:36" x14ac:dyDescent="0.3">
      <c r="AJ532" s="40"/>
    </row>
    <row r="533" spans="36:36" x14ac:dyDescent="0.3">
      <c r="AJ533" s="40"/>
    </row>
    <row r="534" spans="36:36" x14ac:dyDescent="0.3">
      <c r="AJ534" s="40"/>
    </row>
    <row r="535" spans="36:36" x14ac:dyDescent="0.3">
      <c r="AJ535" s="40"/>
    </row>
    <row r="536" spans="36:36" x14ac:dyDescent="0.3">
      <c r="AJ536" s="40"/>
    </row>
    <row r="537" spans="36:36" x14ac:dyDescent="0.3">
      <c r="AJ537" s="40"/>
    </row>
    <row r="538" spans="36:36" x14ac:dyDescent="0.3">
      <c r="AJ538" s="40"/>
    </row>
    <row r="539" spans="36:36" x14ac:dyDescent="0.3">
      <c r="AJ539" s="40"/>
    </row>
    <row r="540" spans="36:36" x14ac:dyDescent="0.3">
      <c r="AJ540" s="40"/>
    </row>
    <row r="541" spans="36:36" x14ac:dyDescent="0.3">
      <c r="AJ541" s="40"/>
    </row>
    <row r="542" spans="36:36" x14ac:dyDescent="0.3">
      <c r="AJ542" s="40"/>
    </row>
    <row r="543" spans="36:36" x14ac:dyDescent="0.3">
      <c r="AJ543" s="40"/>
    </row>
    <row r="544" spans="36:36" x14ac:dyDescent="0.3">
      <c r="AJ544" s="40"/>
    </row>
    <row r="545" spans="36:36" x14ac:dyDescent="0.3">
      <c r="AJ545" s="40"/>
    </row>
    <row r="546" spans="36:36" x14ac:dyDescent="0.3">
      <c r="AJ546" s="40"/>
    </row>
    <row r="547" spans="36:36" x14ac:dyDescent="0.3">
      <c r="AJ547" s="40"/>
    </row>
    <row r="548" spans="36:36" x14ac:dyDescent="0.3">
      <c r="AJ548" s="40"/>
    </row>
    <row r="549" spans="36:36" x14ac:dyDescent="0.3">
      <c r="AJ549" s="40"/>
    </row>
    <row r="550" spans="36:36" x14ac:dyDescent="0.3">
      <c r="AJ550" s="40"/>
    </row>
    <row r="551" spans="36:36" x14ac:dyDescent="0.3">
      <c r="AJ551" s="40"/>
    </row>
    <row r="552" spans="36:36" x14ac:dyDescent="0.3">
      <c r="AJ552" s="40"/>
    </row>
    <row r="553" spans="36:36" x14ac:dyDescent="0.3">
      <c r="AJ553" s="40"/>
    </row>
    <row r="554" spans="36:36" x14ac:dyDescent="0.3">
      <c r="AJ554" s="40"/>
    </row>
    <row r="555" spans="36:36" x14ac:dyDescent="0.3">
      <c r="AJ555" s="40"/>
    </row>
    <row r="556" spans="36:36" x14ac:dyDescent="0.3">
      <c r="AJ556" s="40"/>
    </row>
    <row r="557" spans="36:36" x14ac:dyDescent="0.3">
      <c r="AJ557" s="40"/>
    </row>
    <row r="558" spans="36:36" x14ac:dyDescent="0.3">
      <c r="AJ558" s="40"/>
    </row>
    <row r="559" spans="36:36" x14ac:dyDescent="0.3">
      <c r="AJ559" s="40"/>
    </row>
    <row r="560" spans="36:36" x14ac:dyDescent="0.3">
      <c r="AJ560" s="40"/>
    </row>
    <row r="561" spans="36:36" x14ac:dyDescent="0.3">
      <c r="AJ561" s="40"/>
    </row>
    <row r="562" spans="36:36" x14ac:dyDescent="0.3">
      <c r="AJ562" s="40"/>
    </row>
    <row r="563" spans="36:36" x14ac:dyDescent="0.3">
      <c r="AJ563" s="40"/>
    </row>
    <row r="564" spans="36:36" x14ac:dyDescent="0.3">
      <c r="AJ564" s="40"/>
    </row>
    <row r="565" spans="36:36" x14ac:dyDescent="0.3">
      <c r="AJ565" s="40"/>
    </row>
    <row r="566" spans="36:36" x14ac:dyDescent="0.3">
      <c r="AJ566" s="40"/>
    </row>
    <row r="567" spans="36:36" x14ac:dyDescent="0.3">
      <c r="AJ567" s="40"/>
    </row>
    <row r="568" spans="36:36" x14ac:dyDescent="0.3">
      <c r="AJ568" s="40"/>
    </row>
    <row r="569" spans="36:36" x14ac:dyDescent="0.3">
      <c r="AJ569" s="40"/>
    </row>
    <row r="570" spans="36:36" x14ac:dyDescent="0.3">
      <c r="AJ570" s="40"/>
    </row>
    <row r="571" spans="36:36" x14ac:dyDescent="0.3">
      <c r="AJ571" s="40"/>
    </row>
    <row r="572" spans="36:36" x14ac:dyDescent="0.3">
      <c r="AJ572" s="40"/>
    </row>
    <row r="573" spans="36:36" x14ac:dyDescent="0.3">
      <c r="AJ573" s="40"/>
    </row>
    <row r="574" spans="36:36" x14ac:dyDescent="0.3">
      <c r="AJ574" s="40"/>
    </row>
    <row r="575" spans="36:36" x14ac:dyDescent="0.3">
      <c r="AJ575" s="40"/>
    </row>
    <row r="576" spans="36:36" x14ac:dyDescent="0.3">
      <c r="AJ576" s="40"/>
    </row>
    <row r="577" spans="36:36" x14ac:dyDescent="0.3">
      <c r="AJ577" s="40"/>
    </row>
    <row r="578" spans="36:36" x14ac:dyDescent="0.3">
      <c r="AJ578" s="40"/>
    </row>
    <row r="579" spans="36:36" x14ac:dyDescent="0.3">
      <c r="AJ579" s="40"/>
    </row>
    <row r="580" spans="36:36" x14ac:dyDescent="0.3">
      <c r="AJ580" s="40"/>
    </row>
    <row r="581" spans="36:36" x14ac:dyDescent="0.3">
      <c r="AJ581" s="40"/>
    </row>
    <row r="582" spans="36:36" x14ac:dyDescent="0.3">
      <c r="AJ582" s="40"/>
    </row>
    <row r="583" spans="36:36" x14ac:dyDescent="0.3">
      <c r="AJ583" s="40"/>
    </row>
    <row r="584" spans="36:36" x14ac:dyDescent="0.3">
      <c r="AJ584" s="40"/>
    </row>
    <row r="585" spans="36:36" x14ac:dyDescent="0.3">
      <c r="AJ585" s="40"/>
    </row>
    <row r="586" spans="36:36" x14ac:dyDescent="0.3">
      <c r="AJ586" s="40"/>
    </row>
    <row r="587" spans="36:36" x14ac:dyDescent="0.3">
      <c r="AJ587" s="40"/>
    </row>
    <row r="588" spans="36:36" x14ac:dyDescent="0.3">
      <c r="AJ588" s="40"/>
    </row>
    <row r="589" spans="36:36" x14ac:dyDescent="0.3">
      <c r="AJ589" s="40"/>
    </row>
    <row r="590" spans="36:36" x14ac:dyDescent="0.3">
      <c r="AJ590" s="40"/>
    </row>
    <row r="591" spans="36:36" x14ac:dyDescent="0.3">
      <c r="AJ591" s="40"/>
    </row>
    <row r="592" spans="36:36" x14ac:dyDescent="0.3">
      <c r="AJ592" s="40"/>
    </row>
    <row r="593" spans="36:36" x14ac:dyDescent="0.3">
      <c r="AJ593" s="40"/>
    </row>
    <row r="594" spans="36:36" x14ac:dyDescent="0.3">
      <c r="AJ594" s="40"/>
    </row>
    <row r="595" spans="36:36" x14ac:dyDescent="0.3">
      <c r="AJ595" s="40"/>
    </row>
    <row r="596" spans="36:36" x14ac:dyDescent="0.3">
      <c r="AJ596" s="40"/>
    </row>
    <row r="597" spans="36:36" x14ac:dyDescent="0.3">
      <c r="AJ597" s="40"/>
    </row>
    <row r="598" spans="36:36" x14ac:dyDescent="0.3">
      <c r="AJ598" s="40"/>
    </row>
    <row r="599" spans="36:36" x14ac:dyDescent="0.3">
      <c r="AJ599" s="40"/>
    </row>
    <row r="600" spans="36:36" x14ac:dyDescent="0.3">
      <c r="AJ600" s="40"/>
    </row>
    <row r="601" spans="36:36" x14ac:dyDescent="0.3">
      <c r="AJ601" s="40"/>
    </row>
    <row r="602" spans="36:36" x14ac:dyDescent="0.3">
      <c r="AJ602" s="40"/>
    </row>
    <row r="603" spans="36:36" x14ac:dyDescent="0.3">
      <c r="AJ603" s="40"/>
    </row>
    <row r="604" spans="36:36" x14ac:dyDescent="0.3">
      <c r="AJ604" s="40"/>
    </row>
    <row r="605" spans="36:36" x14ac:dyDescent="0.3">
      <c r="AJ605" s="40"/>
    </row>
    <row r="606" spans="36:36" x14ac:dyDescent="0.3">
      <c r="AJ606" s="40"/>
    </row>
    <row r="607" spans="36:36" x14ac:dyDescent="0.3">
      <c r="AJ607" s="40"/>
    </row>
    <row r="608" spans="36:36" x14ac:dyDescent="0.3">
      <c r="AJ608" s="40"/>
    </row>
    <row r="609" spans="36:36" x14ac:dyDescent="0.3">
      <c r="AJ609" s="40"/>
    </row>
    <row r="610" spans="36:36" x14ac:dyDescent="0.3">
      <c r="AJ610" s="40"/>
    </row>
    <row r="611" spans="36:36" x14ac:dyDescent="0.3">
      <c r="AJ611" s="40"/>
    </row>
    <row r="612" spans="36:36" x14ac:dyDescent="0.3">
      <c r="AJ612" s="40"/>
    </row>
    <row r="613" spans="36:36" x14ac:dyDescent="0.3">
      <c r="AJ613" s="40"/>
    </row>
    <row r="614" spans="36:36" x14ac:dyDescent="0.3">
      <c r="AJ614" s="40"/>
    </row>
    <row r="615" spans="36:36" x14ac:dyDescent="0.3">
      <c r="AJ615" s="40"/>
    </row>
    <row r="616" spans="36:36" x14ac:dyDescent="0.3">
      <c r="AJ616" s="40"/>
    </row>
    <row r="617" spans="36:36" x14ac:dyDescent="0.3">
      <c r="AJ617" s="40"/>
    </row>
    <row r="618" spans="36:36" x14ac:dyDescent="0.3">
      <c r="AJ618" s="40"/>
    </row>
    <row r="619" spans="36:36" x14ac:dyDescent="0.3">
      <c r="AJ619" s="40"/>
    </row>
    <row r="620" spans="36:36" x14ac:dyDescent="0.3">
      <c r="AJ620" s="40"/>
    </row>
    <row r="621" spans="36:36" x14ac:dyDescent="0.3">
      <c r="AJ621" s="40"/>
    </row>
    <row r="622" spans="36:36" x14ac:dyDescent="0.3">
      <c r="AJ622" s="40"/>
    </row>
    <row r="623" spans="36:36" x14ac:dyDescent="0.3">
      <c r="AJ623" s="40"/>
    </row>
    <row r="624" spans="36:36" x14ac:dyDescent="0.3">
      <c r="AJ624" s="40"/>
    </row>
    <row r="625" spans="36:36" x14ac:dyDescent="0.3">
      <c r="AJ625" s="40"/>
    </row>
    <row r="626" spans="36:36" x14ac:dyDescent="0.3">
      <c r="AJ626" s="40"/>
    </row>
    <row r="627" spans="36:36" x14ac:dyDescent="0.3">
      <c r="AJ627" s="40"/>
    </row>
    <row r="628" spans="36:36" x14ac:dyDescent="0.3">
      <c r="AJ628" s="40"/>
    </row>
    <row r="629" spans="36:36" x14ac:dyDescent="0.3">
      <c r="AJ629" s="40"/>
    </row>
    <row r="630" spans="36:36" x14ac:dyDescent="0.3">
      <c r="AJ630" s="40"/>
    </row>
    <row r="631" spans="36:36" x14ac:dyDescent="0.3">
      <c r="AJ631" s="40"/>
    </row>
    <row r="632" spans="36:36" x14ac:dyDescent="0.3">
      <c r="AJ632" s="40"/>
    </row>
    <row r="633" spans="36:36" x14ac:dyDescent="0.3">
      <c r="AJ633" s="40"/>
    </row>
    <row r="634" spans="36:36" x14ac:dyDescent="0.3">
      <c r="AJ634" s="40"/>
    </row>
    <row r="635" spans="36:36" x14ac:dyDescent="0.3">
      <c r="AJ635" s="40"/>
    </row>
    <row r="636" spans="36:36" x14ac:dyDescent="0.3">
      <c r="AJ636" s="40"/>
    </row>
    <row r="637" spans="36:36" x14ac:dyDescent="0.3">
      <c r="AJ637" s="40"/>
    </row>
    <row r="638" spans="36:36" x14ac:dyDescent="0.3">
      <c r="AJ638" s="40"/>
    </row>
    <row r="639" spans="36:36" x14ac:dyDescent="0.3">
      <c r="AJ639" s="40"/>
    </row>
    <row r="640" spans="36:36" x14ac:dyDescent="0.3">
      <c r="AJ640" s="40"/>
    </row>
    <row r="641" spans="36:36" x14ac:dyDescent="0.3">
      <c r="AJ641" s="40"/>
    </row>
    <row r="642" spans="36:36" x14ac:dyDescent="0.3">
      <c r="AJ642" s="40"/>
    </row>
    <row r="643" spans="36:36" x14ac:dyDescent="0.3">
      <c r="AJ643" s="40"/>
    </row>
    <row r="644" spans="36:36" x14ac:dyDescent="0.3">
      <c r="AJ644" s="40"/>
    </row>
    <row r="645" spans="36:36" x14ac:dyDescent="0.3">
      <c r="AJ645" s="40"/>
    </row>
    <row r="646" spans="36:36" x14ac:dyDescent="0.3">
      <c r="AJ646" s="40"/>
    </row>
    <row r="647" spans="36:36" x14ac:dyDescent="0.3">
      <c r="AJ647" s="40"/>
    </row>
    <row r="648" spans="36:36" x14ac:dyDescent="0.3">
      <c r="AJ648" s="40"/>
    </row>
    <row r="649" spans="36:36" x14ac:dyDescent="0.3">
      <c r="AJ649" s="40"/>
    </row>
    <row r="650" spans="36:36" x14ac:dyDescent="0.3">
      <c r="AJ650" s="40"/>
    </row>
    <row r="651" spans="36:36" x14ac:dyDescent="0.3">
      <c r="AJ651" s="40"/>
    </row>
    <row r="652" spans="36:36" x14ac:dyDescent="0.3">
      <c r="AJ652" s="40"/>
    </row>
    <row r="653" spans="36:36" x14ac:dyDescent="0.3">
      <c r="AJ653" s="40"/>
    </row>
    <row r="654" spans="36:36" x14ac:dyDescent="0.3">
      <c r="AJ654" s="40"/>
    </row>
    <row r="655" spans="36:36" x14ac:dyDescent="0.3">
      <c r="AJ655" s="40"/>
    </row>
    <row r="656" spans="36:36" x14ac:dyDescent="0.3">
      <c r="AJ656" s="40"/>
    </row>
    <row r="657" spans="36:36" x14ac:dyDescent="0.3">
      <c r="AJ657" s="40"/>
    </row>
    <row r="658" spans="36:36" x14ac:dyDescent="0.3">
      <c r="AJ658" s="40"/>
    </row>
    <row r="659" spans="36:36" x14ac:dyDescent="0.3">
      <c r="AJ659" s="40"/>
    </row>
    <row r="660" spans="36:36" x14ac:dyDescent="0.3">
      <c r="AJ660" s="40"/>
    </row>
    <row r="661" spans="36:36" x14ac:dyDescent="0.3">
      <c r="AJ661" s="40"/>
    </row>
    <row r="662" spans="36:36" x14ac:dyDescent="0.3">
      <c r="AJ662" s="40"/>
    </row>
    <row r="663" spans="36:36" x14ac:dyDescent="0.3">
      <c r="AJ663" s="40"/>
    </row>
    <row r="664" spans="36:36" x14ac:dyDescent="0.3">
      <c r="AJ664" s="40"/>
    </row>
    <row r="665" spans="36:36" x14ac:dyDescent="0.3">
      <c r="AJ665" s="40"/>
    </row>
    <row r="666" spans="36:36" x14ac:dyDescent="0.3">
      <c r="AJ666" s="40"/>
    </row>
    <row r="667" spans="36:36" x14ac:dyDescent="0.3">
      <c r="AJ667" s="40"/>
    </row>
    <row r="668" spans="36:36" x14ac:dyDescent="0.3">
      <c r="AJ668" s="40"/>
    </row>
    <row r="669" spans="36:36" x14ac:dyDescent="0.3">
      <c r="AJ669" s="40"/>
    </row>
    <row r="670" spans="36:36" x14ac:dyDescent="0.3">
      <c r="AJ670" s="40"/>
    </row>
    <row r="671" spans="36:36" x14ac:dyDescent="0.3">
      <c r="AJ671" s="40"/>
    </row>
    <row r="672" spans="36:36" x14ac:dyDescent="0.3">
      <c r="AJ672" s="40"/>
    </row>
    <row r="673" spans="36:36" x14ac:dyDescent="0.3">
      <c r="AJ673" s="40"/>
    </row>
    <row r="674" spans="36:36" x14ac:dyDescent="0.3">
      <c r="AJ674" s="40"/>
    </row>
    <row r="675" spans="36:36" x14ac:dyDescent="0.3">
      <c r="AJ675" s="40"/>
    </row>
    <row r="676" spans="36:36" x14ac:dyDescent="0.3">
      <c r="AJ676" s="40"/>
    </row>
    <row r="677" spans="36:36" x14ac:dyDescent="0.3">
      <c r="AJ677" s="40"/>
    </row>
    <row r="678" spans="36:36" x14ac:dyDescent="0.3">
      <c r="AJ678" s="40"/>
    </row>
    <row r="679" spans="36:36" x14ac:dyDescent="0.3">
      <c r="AJ679" s="40"/>
    </row>
    <row r="680" spans="36:36" x14ac:dyDescent="0.3">
      <c r="AJ680" s="40"/>
    </row>
    <row r="681" spans="36:36" x14ac:dyDescent="0.3">
      <c r="AJ681" s="40"/>
    </row>
    <row r="682" spans="36:36" x14ac:dyDescent="0.3">
      <c r="AJ682" s="40"/>
    </row>
    <row r="683" spans="36:36" x14ac:dyDescent="0.3">
      <c r="AJ683" s="40"/>
    </row>
    <row r="684" spans="36:36" x14ac:dyDescent="0.3">
      <c r="AJ684" s="40"/>
    </row>
    <row r="685" spans="36:36" x14ac:dyDescent="0.3">
      <c r="AJ685" s="40"/>
    </row>
    <row r="686" spans="36:36" x14ac:dyDescent="0.3">
      <c r="AJ686" s="40"/>
    </row>
    <row r="687" spans="36:36" x14ac:dyDescent="0.3">
      <c r="AJ687" s="40"/>
    </row>
    <row r="688" spans="36:36" x14ac:dyDescent="0.3">
      <c r="AJ688" s="40"/>
    </row>
    <row r="689" spans="36:36" x14ac:dyDescent="0.3">
      <c r="AJ689" s="40"/>
    </row>
    <row r="690" spans="36:36" x14ac:dyDescent="0.3">
      <c r="AJ690" s="40"/>
    </row>
    <row r="691" spans="36:36" x14ac:dyDescent="0.3">
      <c r="AJ691" s="40"/>
    </row>
    <row r="692" spans="36:36" x14ac:dyDescent="0.3">
      <c r="AJ692" s="40"/>
    </row>
    <row r="693" spans="36:36" x14ac:dyDescent="0.3">
      <c r="AJ693" s="40"/>
    </row>
    <row r="694" spans="36:36" x14ac:dyDescent="0.3">
      <c r="AJ694" s="40"/>
    </row>
    <row r="695" spans="36:36" x14ac:dyDescent="0.3">
      <c r="AJ695" s="40"/>
    </row>
    <row r="696" spans="36:36" x14ac:dyDescent="0.3">
      <c r="AJ696" s="40"/>
    </row>
    <row r="697" spans="36:36" x14ac:dyDescent="0.3">
      <c r="AJ697" s="40"/>
    </row>
    <row r="698" spans="36:36" x14ac:dyDescent="0.3">
      <c r="AJ698" s="40"/>
    </row>
    <row r="699" spans="36:36" x14ac:dyDescent="0.3">
      <c r="AJ699" s="40"/>
    </row>
    <row r="700" spans="36:36" x14ac:dyDescent="0.3">
      <c r="AJ700" s="40"/>
    </row>
    <row r="701" spans="36:36" x14ac:dyDescent="0.3">
      <c r="AJ701" s="40"/>
    </row>
    <row r="702" spans="36:36" x14ac:dyDescent="0.3">
      <c r="AJ702" s="40"/>
    </row>
    <row r="703" spans="36:36" x14ac:dyDescent="0.3">
      <c r="AJ703" s="40"/>
    </row>
    <row r="704" spans="36:36" x14ac:dyDescent="0.3">
      <c r="AJ704" s="40"/>
    </row>
    <row r="705" spans="36:36" x14ac:dyDescent="0.3">
      <c r="AJ705" s="40"/>
    </row>
    <row r="706" spans="36:36" x14ac:dyDescent="0.3">
      <c r="AJ706" s="40"/>
    </row>
    <row r="707" spans="36:36" x14ac:dyDescent="0.3">
      <c r="AJ707" s="40"/>
    </row>
    <row r="708" spans="36:36" x14ac:dyDescent="0.3">
      <c r="AJ708" s="40"/>
    </row>
    <row r="709" spans="36:36" x14ac:dyDescent="0.3">
      <c r="AJ709" s="40"/>
    </row>
    <row r="710" spans="36:36" x14ac:dyDescent="0.3">
      <c r="AJ710" s="40"/>
    </row>
    <row r="711" spans="36:36" x14ac:dyDescent="0.3">
      <c r="AJ711" s="40"/>
    </row>
    <row r="712" spans="36:36" x14ac:dyDescent="0.3">
      <c r="AJ712" s="40"/>
    </row>
    <row r="713" spans="36:36" x14ac:dyDescent="0.3">
      <c r="AJ713" s="40"/>
    </row>
    <row r="714" spans="36:36" x14ac:dyDescent="0.3">
      <c r="AJ714" s="40"/>
    </row>
    <row r="715" spans="36:36" x14ac:dyDescent="0.3">
      <c r="AJ715" s="40"/>
    </row>
    <row r="716" spans="36:36" x14ac:dyDescent="0.3">
      <c r="AJ716" s="40"/>
    </row>
    <row r="717" spans="36:36" x14ac:dyDescent="0.3">
      <c r="AJ717" s="40"/>
    </row>
    <row r="718" spans="36:36" x14ac:dyDescent="0.3">
      <c r="AJ718" s="40"/>
    </row>
    <row r="719" spans="36:36" x14ac:dyDescent="0.3">
      <c r="AJ719" s="40"/>
    </row>
    <row r="720" spans="36:36" x14ac:dyDescent="0.3">
      <c r="AJ720" s="40"/>
    </row>
    <row r="721" spans="36:36" x14ac:dyDescent="0.3">
      <c r="AJ721" s="40"/>
    </row>
    <row r="722" spans="36:36" x14ac:dyDescent="0.3">
      <c r="AJ722" s="40"/>
    </row>
    <row r="723" spans="36:36" x14ac:dyDescent="0.3">
      <c r="AJ723" s="40"/>
    </row>
    <row r="724" spans="36:36" x14ac:dyDescent="0.3">
      <c r="AJ724" s="40"/>
    </row>
    <row r="725" spans="36:36" x14ac:dyDescent="0.3">
      <c r="AJ725" s="40"/>
    </row>
    <row r="726" spans="36:36" x14ac:dyDescent="0.3">
      <c r="AJ726" s="40"/>
    </row>
    <row r="727" spans="36:36" x14ac:dyDescent="0.3">
      <c r="AJ727" s="40"/>
    </row>
    <row r="728" spans="36:36" x14ac:dyDescent="0.3">
      <c r="AJ728" s="40"/>
    </row>
    <row r="729" spans="36:36" x14ac:dyDescent="0.3">
      <c r="AJ729" s="40"/>
    </row>
    <row r="730" spans="36:36" x14ac:dyDescent="0.3">
      <c r="AJ730" s="40"/>
    </row>
    <row r="731" spans="36:36" x14ac:dyDescent="0.3">
      <c r="AJ731" s="40"/>
    </row>
    <row r="732" spans="36:36" x14ac:dyDescent="0.3">
      <c r="AJ732" s="40"/>
    </row>
    <row r="733" spans="36:36" x14ac:dyDescent="0.3">
      <c r="AJ733" s="40"/>
    </row>
    <row r="734" spans="36:36" x14ac:dyDescent="0.3">
      <c r="AJ734" s="40"/>
    </row>
    <row r="735" spans="36:36" x14ac:dyDescent="0.3">
      <c r="AJ735" s="40"/>
    </row>
    <row r="736" spans="36:36" x14ac:dyDescent="0.3">
      <c r="AJ736" s="40"/>
    </row>
    <row r="737" spans="36:36" x14ac:dyDescent="0.3">
      <c r="AJ737" s="40"/>
    </row>
    <row r="738" spans="36:36" x14ac:dyDescent="0.3">
      <c r="AJ738" s="40"/>
    </row>
    <row r="739" spans="36:36" x14ac:dyDescent="0.3">
      <c r="AJ739" s="40"/>
    </row>
  </sheetData>
  <conditionalFormatting sqref="A1:AU1 E2:AZ2 B2:D128 A2:A129 AW3:AZ128 E3:AV129">
    <cfRule type="containsErrors" dxfId="0" priority="3">
      <formula>ISERROR(A1)</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0DF732-5BAB-43EF-9553-5997D6D73AE7}">
  <sheetPr codeName="Sheet11">
    <tabColor rgb="FFFF0000"/>
  </sheetPr>
  <dimension ref="A1:CI151"/>
  <sheetViews>
    <sheetView zoomScale="64" zoomScaleNormal="64" workbookViewId="0">
      <selection activeCell="H161" sqref="H161"/>
    </sheetView>
  </sheetViews>
  <sheetFormatPr defaultColWidth="9.44140625" defaultRowHeight="14.4" x14ac:dyDescent="0.3"/>
  <cols>
    <col min="1" max="12" width="17.44140625" style="13" customWidth="1"/>
    <col min="13" max="13" width="11.44140625" style="13" bestFit="1" customWidth="1"/>
    <col min="14" max="83" width="17.44140625" style="13" customWidth="1"/>
    <col min="84" max="16384" width="9.44140625" style="13"/>
  </cols>
  <sheetData>
    <row r="1" spans="1:87" ht="58.35" customHeight="1" x14ac:dyDescent="0.3">
      <c r="A1" s="11" t="s">
        <v>46</v>
      </c>
      <c r="B1" s="11" t="s">
        <v>208</v>
      </c>
      <c r="C1" s="11" t="s">
        <v>209</v>
      </c>
      <c r="D1" s="11" t="s">
        <v>47</v>
      </c>
      <c r="E1" s="11" t="s">
        <v>210</v>
      </c>
      <c r="F1" s="11" t="s">
        <v>282</v>
      </c>
      <c r="G1" s="11" t="s">
        <v>212</v>
      </c>
      <c r="H1" s="11" t="s">
        <v>213</v>
      </c>
      <c r="I1" s="11" t="s">
        <v>214</v>
      </c>
      <c r="J1" s="11" t="s">
        <v>215</v>
      </c>
      <c r="K1" s="11" t="s">
        <v>216</v>
      </c>
      <c r="L1" s="11" t="s">
        <v>217</v>
      </c>
      <c r="M1" s="11" t="s">
        <v>218</v>
      </c>
      <c r="N1" s="12" t="s">
        <v>219</v>
      </c>
      <c r="O1" s="11" t="s">
        <v>220</v>
      </c>
      <c r="P1" s="11" t="s">
        <v>221</v>
      </c>
      <c r="Q1" s="11" t="s">
        <v>222</v>
      </c>
      <c r="R1" s="11" t="s">
        <v>223</v>
      </c>
      <c r="S1" s="11" t="s">
        <v>224</v>
      </c>
      <c r="T1" s="11" t="s">
        <v>225</v>
      </c>
      <c r="U1" s="11" t="s">
        <v>226</v>
      </c>
      <c r="V1" s="11" t="s">
        <v>227</v>
      </c>
      <c r="W1" s="11" t="s">
        <v>228</v>
      </c>
      <c r="X1" s="11" t="s">
        <v>229</v>
      </c>
      <c r="Y1" s="11" t="s">
        <v>230</v>
      </c>
      <c r="Z1" s="11" t="s">
        <v>231</v>
      </c>
      <c r="AA1" s="11" t="s">
        <v>232</v>
      </c>
      <c r="AB1" s="11" t="s">
        <v>233</v>
      </c>
      <c r="AC1" s="11" t="s">
        <v>234</v>
      </c>
      <c r="AD1" s="11" t="s">
        <v>235</v>
      </c>
      <c r="AE1" s="11" t="s">
        <v>236</v>
      </c>
      <c r="AF1" s="11" t="s">
        <v>237</v>
      </c>
      <c r="AG1" s="11" t="s">
        <v>238</v>
      </c>
      <c r="AH1" s="11" t="s">
        <v>239</v>
      </c>
      <c r="AI1" s="11" t="s">
        <v>240</v>
      </c>
      <c r="AJ1" s="11" t="s">
        <v>241</v>
      </c>
      <c r="AK1" s="11" t="s">
        <v>242</v>
      </c>
      <c r="AL1" s="11" t="s">
        <v>243</v>
      </c>
      <c r="AM1" s="11" t="s">
        <v>244</v>
      </c>
      <c r="AN1" s="11" t="s">
        <v>245</v>
      </c>
      <c r="AO1" s="11" t="s">
        <v>67</v>
      </c>
      <c r="AP1" s="11" t="s">
        <v>246</v>
      </c>
      <c r="AQ1" s="11" t="s">
        <v>247</v>
      </c>
      <c r="AR1" s="11" t="s">
        <v>248</v>
      </c>
      <c r="AS1" s="11" t="s">
        <v>249</v>
      </c>
      <c r="AT1" s="11" t="s">
        <v>250</v>
      </c>
      <c r="AU1" s="11" t="s">
        <v>251</v>
      </c>
      <c r="AV1" s="11" t="s">
        <v>252</v>
      </c>
      <c r="AW1" s="11" t="s">
        <v>53</v>
      </c>
      <c r="AX1" s="11" t="s">
        <v>253</v>
      </c>
      <c r="AY1" s="11" t="s">
        <v>254</v>
      </c>
      <c r="AZ1" s="11" t="s">
        <v>255</v>
      </c>
      <c r="BA1" s="11" t="s">
        <v>256</v>
      </c>
      <c r="BB1" s="11" t="s">
        <v>257</v>
      </c>
      <c r="BC1" s="11" t="s">
        <v>258</v>
      </c>
      <c r="BD1" s="11" t="s">
        <v>259</v>
      </c>
      <c r="BE1" s="11" t="s">
        <v>260</v>
      </c>
      <c r="BF1" s="11" t="s">
        <v>261</v>
      </c>
      <c r="BG1" s="11" t="s">
        <v>262</v>
      </c>
      <c r="BH1" s="11" t="s">
        <v>263</v>
      </c>
      <c r="BI1" s="11" t="s">
        <v>264</v>
      </c>
      <c r="BJ1" s="11" t="s">
        <v>265</v>
      </c>
      <c r="BK1" s="11" t="s">
        <v>266</v>
      </c>
      <c r="BL1" s="11" t="s">
        <v>267</v>
      </c>
      <c r="BM1" s="11" t="s">
        <v>268</v>
      </c>
      <c r="BN1" s="11" t="s">
        <v>269</v>
      </c>
      <c r="BO1" s="11" t="s">
        <v>270</v>
      </c>
      <c r="BP1" s="11" t="s">
        <v>271</v>
      </c>
      <c r="BQ1" s="11" t="s">
        <v>272</v>
      </c>
      <c r="BR1" s="11" t="s">
        <v>273</v>
      </c>
      <c r="BS1" s="11" t="s">
        <v>274</v>
      </c>
      <c r="BT1" s="11" t="s">
        <v>618</v>
      </c>
      <c r="BU1" s="11" t="s">
        <v>619</v>
      </c>
      <c r="BV1" s="11" t="s">
        <v>620</v>
      </c>
      <c r="BW1" s="11" t="s">
        <v>621</v>
      </c>
      <c r="BX1" s="11" t="s">
        <v>622</v>
      </c>
      <c r="BY1" s="11" t="s">
        <v>623</v>
      </c>
      <c r="BZ1" s="11" t="s">
        <v>624</v>
      </c>
      <c r="CA1" s="11" t="s">
        <v>625</v>
      </c>
      <c r="CB1" s="11" t="s">
        <v>626</v>
      </c>
      <c r="CC1" s="11" t="s">
        <v>627</v>
      </c>
      <c r="CD1" s="11" t="s">
        <v>628</v>
      </c>
      <c r="CE1" s="11" t="s">
        <v>629</v>
      </c>
    </row>
    <row r="2" spans="1:87" s="222" customFormat="1" ht="22.8" x14ac:dyDescent="0.3">
      <c r="A2" s="57">
        <v>1</v>
      </c>
      <c r="B2" s="57" t="s">
        <v>91</v>
      </c>
      <c r="C2" s="57" t="s">
        <v>77</v>
      </c>
      <c r="D2" s="57">
        <v>16665</v>
      </c>
      <c r="E2" s="57">
        <v>2025</v>
      </c>
      <c r="F2" s="57" t="s">
        <v>275</v>
      </c>
      <c r="G2" s="57">
        <v>2</v>
      </c>
      <c r="H2" s="57">
        <v>6</v>
      </c>
      <c r="I2" s="57" t="s">
        <v>709</v>
      </c>
      <c r="J2" s="100">
        <v>1167000</v>
      </c>
      <c r="K2" s="100">
        <v>17787000</v>
      </c>
      <c r="L2" s="100">
        <v>0</v>
      </c>
      <c r="M2" s="100">
        <v>15631000</v>
      </c>
      <c r="N2" s="100">
        <v>0</v>
      </c>
      <c r="O2" s="100">
        <v>0</v>
      </c>
      <c r="P2" s="100">
        <v>7163000</v>
      </c>
      <c r="Q2" s="104">
        <v>41748000</v>
      </c>
      <c r="R2" s="100">
        <v>14777000</v>
      </c>
      <c r="S2" s="100">
        <v>726000</v>
      </c>
      <c r="T2" s="100">
        <v>0</v>
      </c>
      <c r="U2" s="100">
        <v>0</v>
      </c>
      <c r="V2" s="100">
        <v>68958000</v>
      </c>
      <c r="W2" s="100">
        <v>34146000</v>
      </c>
      <c r="X2" s="104">
        <v>34812000</v>
      </c>
      <c r="Y2" s="100">
        <v>15967000</v>
      </c>
      <c r="Z2" s="104">
        <v>66282000</v>
      </c>
      <c r="AA2" s="104">
        <v>108030000</v>
      </c>
      <c r="AB2" s="100">
        <v>650000</v>
      </c>
      <c r="AC2" s="100">
        <v>3893000</v>
      </c>
      <c r="AD2" s="100">
        <v>58139000</v>
      </c>
      <c r="AE2" s="100">
        <v>13627000</v>
      </c>
      <c r="AF2" s="104">
        <v>76309000</v>
      </c>
      <c r="AG2" s="100">
        <v>14998000</v>
      </c>
      <c r="AH2" s="100">
        <v>0</v>
      </c>
      <c r="AI2" s="100">
        <v>25288000</v>
      </c>
      <c r="AJ2" s="104">
        <v>40286000</v>
      </c>
      <c r="AK2" s="104">
        <v>116595000</v>
      </c>
      <c r="AL2" s="100">
        <v>-25977000</v>
      </c>
      <c r="AM2" s="100">
        <v>11389000</v>
      </c>
      <c r="AN2" s="100">
        <v>6023000</v>
      </c>
      <c r="AO2" s="104">
        <v>-8565000</v>
      </c>
      <c r="AP2" s="104">
        <v>108030000</v>
      </c>
      <c r="AQ2" s="100">
        <v>62736000</v>
      </c>
      <c r="AR2" s="100">
        <v>0</v>
      </c>
      <c r="AS2" s="100">
        <v>6702000</v>
      </c>
      <c r="AT2" s="100">
        <v>0</v>
      </c>
      <c r="AU2" s="100">
        <v>0</v>
      </c>
      <c r="AV2" s="100">
        <v>0</v>
      </c>
      <c r="AW2" s="104">
        <v>69438000</v>
      </c>
      <c r="AX2" s="100">
        <v>-5000</v>
      </c>
      <c r="AY2" s="100">
        <v>0</v>
      </c>
      <c r="AZ2" s="100">
        <v>-193000</v>
      </c>
      <c r="BA2" s="100">
        <v>47000</v>
      </c>
      <c r="BB2" s="100">
        <v>0</v>
      </c>
      <c r="BC2" s="104">
        <v>-151000</v>
      </c>
      <c r="BD2" s="104">
        <v>69287000</v>
      </c>
      <c r="BE2" s="100">
        <v>38108000</v>
      </c>
      <c r="BF2" s="100">
        <v>0</v>
      </c>
      <c r="BG2" s="100">
        <v>3477000</v>
      </c>
      <c r="BH2" s="100">
        <v>232000</v>
      </c>
      <c r="BI2" s="100">
        <v>1522000</v>
      </c>
      <c r="BJ2" s="100">
        <v>37529000</v>
      </c>
      <c r="BK2" s="100">
        <v>0</v>
      </c>
      <c r="BL2" s="104">
        <v>80868000</v>
      </c>
      <c r="BM2" s="104">
        <v>-11581000</v>
      </c>
      <c r="BN2" s="100">
        <v>447000</v>
      </c>
      <c r="BO2" s="100">
        <v>16000</v>
      </c>
      <c r="BP2" s="100">
        <v>-11118000</v>
      </c>
      <c r="BQ2" s="100">
        <v>0</v>
      </c>
      <c r="BR2" s="100">
        <v>0</v>
      </c>
      <c r="BS2" s="104">
        <v>-11118000</v>
      </c>
      <c r="BT2" s="105">
        <v>-0.16500000000000001</v>
      </c>
      <c r="BU2" s="105">
        <v>-2E-3</v>
      </c>
      <c r="BV2" s="105">
        <v>-0.16700000000000001</v>
      </c>
      <c r="BW2" s="106">
        <v>0.5</v>
      </c>
      <c r="BX2" s="107">
        <v>45</v>
      </c>
      <c r="BY2" s="107">
        <v>171</v>
      </c>
      <c r="BZ2" s="108">
        <v>-8.6999999999999993</v>
      </c>
      <c r="CA2" s="109">
        <v>-8.6999999999999994E-2</v>
      </c>
      <c r="CB2" s="109">
        <v>-7.9000000000000001E-2</v>
      </c>
      <c r="CC2" s="110">
        <v>10</v>
      </c>
      <c r="CD2" s="111">
        <v>45</v>
      </c>
      <c r="CE2" s="109">
        <v>-1.3660000000000001</v>
      </c>
      <c r="CF2" s="104">
        <v>9091706</v>
      </c>
      <c r="CG2" s="105">
        <v>0</v>
      </c>
      <c r="CH2" s="105">
        <v>6.4000000000000001E-2</v>
      </c>
      <c r="CI2" s="105">
        <v>6.4000000000000001E-2</v>
      </c>
    </row>
    <row r="3" spans="1:87" s="222" customFormat="1" ht="22.8" x14ac:dyDescent="0.3">
      <c r="A3" s="14">
        <v>2</v>
      </c>
      <c r="B3" s="14" t="s">
        <v>135</v>
      </c>
      <c r="C3" s="14" t="s">
        <v>77</v>
      </c>
      <c r="D3" s="14">
        <v>12807</v>
      </c>
      <c r="E3" s="14">
        <v>2025</v>
      </c>
      <c r="F3" s="14" t="s">
        <v>275</v>
      </c>
      <c r="G3" s="14">
        <v>2</v>
      </c>
      <c r="H3" s="14">
        <v>6</v>
      </c>
      <c r="I3" s="14" t="s">
        <v>709</v>
      </c>
      <c r="J3" s="96">
        <v>5908980</v>
      </c>
      <c r="K3" s="96">
        <v>0</v>
      </c>
      <c r="L3" s="96">
        <v>0</v>
      </c>
      <c r="M3" s="96">
        <v>4713878</v>
      </c>
      <c r="N3" s="96">
        <v>0</v>
      </c>
      <c r="O3" s="96">
        <v>0</v>
      </c>
      <c r="P3" s="96">
        <v>979405</v>
      </c>
      <c r="Q3" s="104">
        <v>11602263</v>
      </c>
      <c r="R3" s="96">
        <v>1830842</v>
      </c>
      <c r="S3" s="96">
        <v>0</v>
      </c>
      <c r="T3" s="96">
        <v>0</v>
      </c>
      <c r="U3" s="96">
        <v>0</v>
      </c>
      <c r="V3" s="96">
        <v>19672063</v>
      </c>
      <c r="W3" s="96">
        <v>15369980</v>
      </c>
      <c r="X3" s="104">
        <v>4302083</v>
      </c>
      <c r="Y3" s="96">
        <v>11856744</v>
      </c>
      <c r="Z3" s="104">
        <v>17989669</v>
      </c>
      <c r="AA3" s="104">
        <v>29591932</v>
      </c>
      <c r="AB3" s="96">
        <v>136369</v>
      </c>
      <c r="AC3" s="96">
        <v>561870</v>
      </c>
      <c r="AD3" s="96">
        <v>0</v>
      </c>
      <c r="AE3" s="96">
        <v>11215761</v>
      </c>
      <c r="AF3" s="104">
        <v>11914000</v>
      </c>
      <c r="AG3" s="96">
        <v>220131</v>
      </c>
      <c r="AH3" s="96">
        <v>0</v>
      </c>
      <c r="AI3" s="96">
        <v>4291064</v>
      </c>
      <c r="AJ3" s="104">
        <v>4511195</v>
      </c>
      <c r="AK3" s="104">
        <v>16425195</v>
      </c>
      <c r="AL3" s="96">
        <v>11305387</v>
      </c>
      <c r="AM3" s="96">
        <v>0</v>
      </c>
      <c r="AN3" s="96">
        <v>1861350</v>
      </c>
      <c r="AO3" s="104">
        <v>13166737</v>
      </c>
      <c r="AP3" s="104">
        <v>29591932</v>
      </c>
      <c r="AQ3" s="96">
        <v>20796067</v>
      </c>
      <c r="AR3" s="96">
        <v>0</v>
      </c>
      <c r="AS3" s="96">
        <v>1755007</v>
      </c>
      <c r="AT3" s="96">
        <v>0</v>
      </c>
      <c r="AU3" s="96">
        <v>0</v>
      </c>
      <c r="AV3" s="96">
        <v>0</v>
      </c>
      <c r="AW3" s="104">
        <v>22551074</v>
      </c>
      <c r="AX3" s="96">
        <v>888</v>
      </c>
      <c r="AY3" s="96">
        <v>0</v>
      </c>
      <c r="AZ3" s="96">
        <v>0</v>
      </c>
      <c r="BA3" s="96">
        <v>0</v>
      </c>
      <c r="BB3" s="96">
        <v>9000</v>
      </c>
      <c r="BC3" s="104">
        <v>9888</v>
      </c>
      <c r="BD3" s="104">
        <v>22560962</v>
      </c>
      <c r="BE3" s="96">
        <v>7888766</v>
      </c>
      <c r="BF3" s="96">
        <v>0</v>
      </c>
      <c r="BG3" s="96">
        <v>340408</v>
      </c>
      <c r="BH3" s="96">
        <v>98</v>
      </c>
      <c r="BI3" s="96">
        <v>0</v>
      </c>
      <c r="BJ3" s="96">
        <v>12679507</v>
      </c>
      <c r="BK3" s="96">
        <v>0</v>
      </c>
      <c r="BL3" s="104">
        <v>20908779</v>
      </c>
      <c r="BM3" s="104">
        <v>1652183</v>
      </c>
      <c r="BN3" s="96">
        <v>-13082252</v>
      </c>
      <c r="BO3" s="96">
        <v>0</v>
      </c>
      <c r="BP3" s="96">
        <v>-11430069</v>
      </c>
      <c r="BQ3" s="96">
        <v>0</v>
      </c>
      <c r="BR3" s="96">
        <v>0</v>
      </c>
      <c r="BS3" s="104">
        <v>-11430069</v>
      </c>
      <c r="BT3" s="105">
        <v>7.2999999999999995E-2</v>
      </c>
      <c r="BU3" s="105">
        <v>0</v>
      </c>
      <c r="BV3" s="105">
        <v>7.2999999999999995E-2</v>
      </c>
      <c r="BW3" s="106">
        <v>1</v>
      </c>
      <c r="BX3" s="107">
        <v>41</v>
      </c>
      <c r="BY3" s="107">
        <v>101</v>
      </c>
      <c r="BZ3" s="108">
        <v>14.6</v>
      </c>
      <c r="CA3" s="109">
        <v>0.16400000000000001</v>
      </c>
      <c r="CB3" s="109">
        <v>0.44500000000000001</v>
      </c>
      <c r="CC3" s="110">
        <v>45</v>
      </c>
      <c r="CD3" s="111">
        <v>52</v>
      </c>
      <c r="CE3" s="109">
        <v>1.9E-2</v>
      </c>
      <c r="CF3" s="104">
        <v>21018697</v>
      </c>
      <c r="CG3" s="105">
        <v>-0.13</v>
      </c>
      <c r="CH3" s="105">
        <v>0.20899999999999999</v>
      </c>
      <c r="CI3" s="105">
        <v>7.9000000000000001E-2</v>
      </c>
    </row>
    <row r="4" spans="1:87" s="222" customFormat="1" ht="22.8" x14ac:dyDescent="0.3">
      <c r="A4" s="57">
        <v>4</v>
      </c>
      <c r="B4" s="57" t="s">
        <v>79</v>
      </c>
      <c r="C4" s="57" t="s">
        <v>77</v>
      </c>
      <c r="D4" s="57">
        <v>4066</v>
      </c>
      <c r="E4" s="57">
        <v>2025</v>
      </c>
      <c r="F4" s="57" t="s">
        <v>275</v>
      </c>
      <c r="G4" s="57">
        <v>2</v>
      </c>
      <c r="H4" s="57">
        <v>6</v>
      </c>
      <c r="I4" s="57" t="s">
        <v>709</v>
      </c>
      <c r="J4" s="100">
        <v>82693000</v>
      </c>
      <c r="K4" s="100">
        <v>90220000</v>
      </c>
      <c r="L4" s="100">
        <v>0</v>
      </c>
      <c r="M4" s="100">
        <v>212438000</v>
      </c>
      <c r="N4" s="100">
        <v>100905000</v>
      </c>
      <c r="O4" s="100">
        <v>44184000</v>
      </c>
      <c r="P4" s="100">
        <v>65922000</v>
      </c>
      <c r="Q4" s="104">
        <v>596362000</v>
      </c>
      <c r="R4" s="100">
        <v>366650000</v>
      </c>
      <c r="S4" s="100">
        <v>0</v>
      </c>
      <c r="T4" s="100">
        <v>15365000</v>
      </c>
      <c r="U4" s="100">
        <v>21867000</v>
      </c>
      <c r="V4" s="100">
        <v>1795523000</v>
      </c>
      <c r="W4" s="100">
        <v>1137486000</v>
      </c>
      <c r="X4" s="104">
        <v>658037000</v>
      </c>
      <c r="Y4" s="100">
        <v>33529000</v>
      </c>
      <c r="Z4" s="104">
        <v>1095448000</v>
      </c>
      <c r="AA4" s="104">
        <v>1691810000</v>
      </c>
      <c r="AB4" s="100">
        <v>14250000</v>
      </c>
      <c r="AC4" s="100">
        <v>37304000</v>
      </c>
      <c r="AD4" s="100">
        <v>67000</v>
      </c>
      <c r="AE4" s="100">
        <v>162742000</v>
      </c>
      <c r="AF4" s="104">
        <v>214363000</v>
      </c>
      <c r="AG4" s="100">
        <v>476994000</v>
      </c>
      <c r="AH4" s="100">
        <v>0</v>
      </c>
      <c r="AI4" s="100">
        <v>38791000</v>
      </c>
      <c r="AJ4" s="104">
        <v>515785000</v>
      </c>
      <c r="AK4" s="104">
        <v>730148000</v>
      </c>
      <c r="AL4" s="100">
        <v>943581000</v>
      </c>
      <c r="AM4" s="100">
        <v>0</v>
      </c>
      <c r="AN4" s="100">
        <v>18081000</v>
      </c>
      <c r="AO4" s="104">
        <v>961662000</v>
      </c>
      <c r="AP4" s="104">
        <v>1691810000</v>
      </c>
      <c r="AQ4" s="100">
        <v>949729000</v>
      </c>
      <c r="AR4" s="100">
        <v>0</v>
      </c>
      <c r="AS4" s="100">
        <v>64305000</v>
      </c>
      <c r="AT4" s="100">
        <v>0</v>
      </c>
      <c r="AU4" s="100">
        <v>0</v>
      </c>
      <c r="AV4" s="100">
        <v>389000</v>
      </c>
      <c r="AW4" s="104">
        <v>1014423000</v>
      </c>
      <c r="AX4" s="100">
        <v>7050000</v>
      </c>
      <c r="AY4" s="100">
        <v>0</v>
      </c>
      <c r="AZ4" s="100">
        <v>2124000</v>
      </c>
      <c r="BA4" s="100">
        <v>-5727000</v>
      </c>
      <c r="BB4" s="100">
        <v>0</v>
      </c>
      <c r="BC4" s="104">
        <v>3447000</v>
      </c>
      <c r="BD4" s="104">
        <v>1017870000</v>
      </c>
      <c r="BE4" s="100">
        <v>361030000</v>
      </c>
      <c r="BF4" s="100">
        <v>0</v>
      </c>
      <c r="BG4" s="100">
        <v>33522000</v>
      </c>
      <c r="BH4" s="100">
        <v>7763000</v>
      </c>
      <c r="BI4" s="100">
        <v>74950000</v>
      </c>
      <c r="BJ4" s="100">
        <v>480448000</v>
      </c>
      <c r="BK4" s="100">
        <v>2237000</v>
      </c>
      <c r="BL4" s="104">
        <v>959950000</v>
      </c>
      <c r="BM4" s="104">
        <v>57920000</v>
      </c>
      <c r="BN4" s="100">
        <v>-37500000</v>
      </c>
      <c r="BO4" s="100">
        <v>1414000</v>
      </c>
      <c r="BP4" s="100">
        <v>21834000</v>
      </c>
      <c r="BQ4" s="100">
        <v>0</v>
      </c>
      <c r="BR4" s="100">
        <v>0</v>
      </c>
      <c r="BS4" s="104">
        <v>21834000</v>
      </c>
      <c r="BT4" s="105">
        <v>5.3999999999999999E-2</v>
      </c>
      <c r="BU4" s="105">
        <v>3.0000000000000001E-3</v>
      </c>
      <c r="BV4" s="105">
        <v>5.7000000000000002E-2</v>
      </c>
      <c r="BW4" s="106">
        <v>2.8</v>
      </c>
      <c r="BX4" s="107">
        <v>41</v>
      </c>
      <c r="BY4" s="107">
        <v>35</v>
      </c>
      <c r="BZ4" s="108">
        <v>4.5</v>
      </c>
      <c r="CA4" s="109">
        <v>0.13200000000000001</v>
      </c>
      <c r="CB4" s="109">
        <v>0.56799999999999995</v>
      </c>
      <c r="CC4" s="110">
        <v>34</v>
      </c>
      <c r="CD4" s="111">
        <v>34</v>
      </c>
      <c r="CE4" s="109">
        <v>0.33200000000000002</v>
      </c>
      <c r="CF4" s="104">
        <v>57920000</v>
      </c>
      <c r="CG4" s="105">
        <v>5.3999999999999999E-2</v>
      </c>
      <c r="CH4" s="105">
        <v>3.0000000000000001E-3</v>
      </c>
      <c r="CI4" s="105">
        <v>5.7000000000000002E-2</v>
      </c>
    </row>
    <row r="5" spans="1:87" s="222" customFormat="1" ht="22.8" x14ac:dyDescent="0.3">
      <c r="A5" s="57">
        <v>5</v>
      </c>
      <c r="B5" s="57" t="s">
        <v>76</v>
      </c>
      <c r="C5" s="57" t="s">
        <v>77</v>
      </c>
      <c r="D5" s="57">
        <v>4066</v>
      </c>
      <c r="E5" s="57">
        <v>2025</v>
      </c>
      <c r="F5" s="57" t="s">
        <v>275</v>
      </c>
      <c r="G5" s="57">
        <v>2</v>
      </c>
      <c r="H5" s="57">
        <v>6</v>
      </c>
      <c r="I5" s="57" t="s">
        <v>709</v>
      </c>
      <c r="J5" s="100">
        <v>7063000</v>
      </c>
      <c r="K5" s="100">
        <v>461000</v>
      </c>
      <c r="L5" s="100">
        <v>0</v>
      </c>
      <c r="M5" s="100">
        <v>13096000</v>
      </c>
      <c r="N5" s="100">
        <v>227000</v>
      </c>
      <c r="O5" s="100">
        <v>3116000</v>
      </c>
      <c r="P5" s="100">
        <v>4210000</v>
      </c>
      <c r="Q5" s="104">
        <v>28173000</v>
      </c>
      <c r="R5" s="100">
        <v>6234000</v>
      </c>
      <c r="S5" s="100">
        <v>0</v>
      </c>
      <c r="T5" s="100">
        <v>13192000</v>
      </c>
      <c r="U5" s="100">
        <v>442000</v>
      </c>
      <c r="V5" s="100">
        <v>170201000</v>
      </c>
      <c r="W5" s="100">
        <v>126389000</v>
      </c>
      <c r="X5" s="104">
        <v>43812000</v>
      </c>
      <c r="Y5" s="100">
        <v>7000</v>
      </c>
      <c r="Z5" s="104">
        <v>63687000</v>
      </c>
      <c r="AA5" s="104">
        <v>91860000</v>
      </c>
      <c r="AB5" s="100">
        <v>620000</v>
      </c>
      <c r="AC5" s="100">
        <v>2864000</v>
      </c>
      <c r="AD5" s="100">
        <v>2580000</v>
      </c>
      <c r="AE5" s="100">
        <v>11081000</v>
      </c>
      <c r="AF5" s="104">
        <v>17145000</v>
      </c>
      <c r="AG5" s="100">
        <v>16407000</v>
      </c>
      <c r="AH5" s="100">
        <v>0</v>
      </c>
      <c r="AI5" s="100">
        <v>231000</v>
      </c>
      <c r="AJ5" s="104">
        <v>16638000</v>
      </c>
      <c r="AK5" s="104">
        <v>33783000</v>
      </c>
      <c r="AL5" s="100">
        <v>39191000</v>
      </c>
      <c r="AM5" s="100">
        <v>0</v>
      </c>
      <c r="AN5" s="100">
        <v>18886000</v>
      </c>
      <c r="AO5" s="104">
        <v>58077000</v>
      </c>
      <c r="AP5" s="104">
        <v>91860000</v>
      </c>
      <c r="AQ5" s="100">
        <v>66937000</v>
      </c>
      <c r="AR5" s="100">
        <v>0</v>
      </c>
      <c r="AS5" s="100">
        <v>7730000</v>
      </c>
      <c r="AT5" s="100">
        <v>0</v>
      </c>
      <c r="AU5" s="100">
        <v>0</v>
      </c>
      <c r="AV5" s="100">
        <v>128000</v>
      </c>
      <c r="AW5" s="104">
        <v>74795000</v>
      </c>
      <c r="AX5" s="100">
        <v>7000</v>
      </c>
      <c r="AY5" s="100">
        <v>0</v>
      </c>
      <c r="AZ5" s="100">
        <v>-15000</v>
      </c>
      <c r="BA5" s="100">
        <v>2000</v>
      </c>
      <c r="BB5" s="100">
        <v>0</v>
      </c>
      <c r="BC5" s="104">
        <v>-6000</v>
      </c>
      <c r="BD5" s="104">
        <v>74789000</v>
      </c>
      <c r="BE5" s="100">
        <v>27949000</v>
      </c>
      <c r="BF5" s="100">
        <v>0</v>
      </c>
      <c r="BG5" s="100">
        <v>2274000</v>
      </c>
      <c r="BH5" s="100">
        <v>332000</v>
      </c>
      <c r="BI5" s="100">
        <v>4912000</v>
      </c>
      <c r="BJ5" s="100">
        <v>37751000</v>
      </c>
      <c r="BK5" s="100">
        <v>90000</v>
      </c>
      <c r="BL5" s="104">
        <v>73308000</v>
      </c>
      <c r="BM5" s="104">
        <v>1481000</v>
      </c>
      <c r="BN5" s="100">
        <v>0</v>
      </c>
      <c r="BO5" s="100">
        <v>26000</v>
      </c>
      <c r="BP5" s="100">
        <v>1507000</v>
      </c>
      <c r="BQ5" s="100">
        <v>0</v>
      </c>
      <c r="BR5" s="100">
        <v>0</v>
      </c>
      <c r="BS5" s="104">
        <v>1507000</v>
      </c>
      <c r="BT5" s="105">
        <v>0.02</v>
      </c>
      <c r="BU5" s="105">
        <v>0</v>
      </c>
      <c r="BV5" s="105">
        <v>0.02</v>
      </c>
      <c r="BW5" s="106">
        <v>1.6</v>
      </c>
      <c r="BX5" s="107">
        <v>36</v>
      </c>
      <c r="BY5" s="107">
        <v>37</v>
      </c>
      <c r="BZ5" s="108">
        <v>4.3</v>
      </c>
      <c r="CA5" s="109">
        <v>0.112</v>
      </c>
      <c r="CB5" s="109">
        <v>0.63200000000000001</v>
      </c>
      <c r="CC5" s="110">
        <v>56</v>
      </c>
      <c r="CD5" s="111">
        <v>19</v>
      </c>
      <c r="CE5" s="109">
        <v>0.22</v>
      </c>
      <c r="CF5" s="104">
        <v>26185261.510000199</v>
      </c>
      <c r="CG5" s="105">
        <v>4.1000000000000002E-2</v>
      </c>
      <c r="CH5" s="105">
        <v>-1E-3</v>
      </c>
      <c r="CI5" s="105">
        <v>0.04</v>
      </c>
    </row>
    <row r="6" spans="1:87" s="222" customFormat="1" ht="22.8" x14ac:dyDescent="0.3">
      <c r="A6" s="14">
        <v>8</v>
      </c>
      <c r="B6" s="14" t="s">
        <v>87</v>
      </c>
      <c r="C6" s="14" t="s">
        <v>77</v>
      </c>
      <c r="D6" s="14">
        <v>3106</v>
      </c>
      <c r="E6" s="14">
        <v>2025</v>
      </c>
      <c r="F6" s="14" t="s">
        <v>275</v>
      </c>
      <c r="G6" s="14">
        <v>2</v>
      </c>
      <c r="H6" s="14">
        <v>6</v>
      </c>
      <c r="I6" s="14" t="s">
        <v>709</v>
      </c>
      <c r="J6" s="96">
        <v>59112228</v>
      </c>
      <c r="K6" s="96">
        <v>0</v>
      </c>
      <c r="L6" s="96">
        <v>0</v>
      </c>
      <c r="M6" s="96">
        <v>8716173</v>
      </c>
      <c r="N6" s="96">
        <v>640268</v>
      </c>
      <c r="O6" s="96">
        <v>0</v>
      </c>
      <c r="P6" s="96">
        <v>1605385</v>
      </c>
      <c r="Q6" s="104">
        <v>70074054</v>
      </c>
      <c r="R6" s="96">
        <v>46098937</v>
      </c>
      <c r="S6" s="96">
        <v>0</v>
      </c>
      <c r="T6" s="96">
        <v>0</v>
      </c>
      <c r="U6" s="96">
        <v>0</v>
      </c>
      <c r="V6" s="96">
        <v>40294910</v>
      </c>
      <c r="W6" s="96">
        <v>28466426</v>
      </c>
      <c r="X6" s="104">
        <v>11828484</v>
      </c>
      <c r="Y6" s="96">
        <v>391985</v>
      </c>
      <c r="Z6" s="104">
        <v>58319406</v>
      </c>
      <c r="AA6" s="104">
        <v>128393460</v>
      </c>
      <c r="AB6" s="96">
        <v>223920</v>
      </c>
      <c r="AC6" s="96">
        <v>10578493</v>
      </c>
      <c r="AD6" s="96">
        <v>0</v>
      </c>
      <c r="AE6" s="96">
        <v>7575971</v>
      </c>
      <c r="AF6" s="104">
        <v>18378384</v>
      </c>
      <c r="AG6" s="96">
        <v>1683800</v>
      </c>
      <c r="AH6" s="96">
        <v>0</v>
      </c>
      <c r="AI6" s="96">
        <v>2960363</v>
      </c>
      <c r="AJ6" s="104">
        <v>4644163</v>
      </c>
      <c r="AK6" s="104">
        <v>23022547</v>
      </c>
      <c r="AL6" s="96">
        <v>97011904</v>
      </c>
      <c r="AM6" s="96">
        <v>8100767</v>
      </c>
      <c r="AN6" s="96">
        <v>258242</v>
      </c>
      <c r="AO6" s="104">
        <v>105370913</v>
      </c>
      <c r="AP6" s="104">
        <v>128393460</v>
      </c>
      <c r="AQ6" s="96">
        <v>40933465</v>
      </c>
      <c r="AR6" s="96">
        <v>845430</v>
      </c>
      <c r="AS6" s="96">
        <v>6284338</v>
      </c>
      <c r="AT6" s="96">
        <v>0</v>
      </c>
      <c r="AU6" s="96">
        <v>0</v>
      </c>
      <c r="AV6" s="96">
        <v>23884</v>
      </c>
      <c r="AW6" s="104">
        <v>48087117</v>
      </c>
      <c r="AX6" s="96">
        <v>2649514</v>
      </c>
      <c r="AY6" s="96">
        <v>0</v>
      </c>
      <c r="AZ6" s="96">
        <v>-3176701</v>
      </c>
      <c r="BA6" s="96">
        <v>0</v>
      </c>
      <c r="BB6" s="96">
        <v>51357</v>
      </c>
      <c r="BC6" s="104">
        <v>-475830</v>
      </c>
      <c r="BD6" s="104">
        <v>47611287</v>
      </c>
      <c r="BE6" s="96">
        <v>24448434</v>
      </c>
      <c r="BF6" s="96">
        <v>0</v>
      </c>
      <c r="BG6" s="96">
        <v>1048769</v>
      </c>
      <c r="BH6" s="96">
        <v>9378</v>
      </c>
      <c r="BI6" s="96">
        <v>397238</v>
      </c>
      <c r="BJ6" s="96">
        <v>16737274</v>
      </c>
      <c r="BK6" s="96">
        <v>0</v>
      </c>
      <c r="BL6" s="104">
        <v>42641093</v>
      </c>
      <c r="BM6" s="104">
        <v>4970194</v>
      </c>
      <c r="BN6" s="96">
        <v>-942595</v>
      </c>
      <c r="BO6" s="96">
        <v>0</v>
      </c>
      <c r="BP6" s="96">
        <v>4027599</v>
      </c>
      <c r="BQ6" s="96">
        <v>0</v>
      </c>
      <c r="BR6" s="96">
        <v>0</v>
      </c>
      <c r="BS6" s="104">
        <v>4027599</v>
      </c>
      <c r="BT6" s="105">
        <v>0.114</v>
      </c>
      <c r="BU6" s="105">
        <v>-0.01</v>
      </c>
      <c r="BV6" s="105">
        <v>0.104</v>
      </c>
      <c r="BW6" s="106">
        <v>3.8</v>
      </c>
      <c r="BX6" s="107">
        <v>39</v>
      </c>
      <c r="BY6" s="107">
        <v>34</v>
      </c>
      <c r="BZ6" s="108">
        <v>39.5</v>
      </c>
      <c r="CA6" s="109">
        <v>0.45800000000000002</v>
      </c>
      <c r="CB6" s="109">
        <v>0.82099999999999995</v>
      </c>
      <c r="CC6" s="110">
        <v>27</v>
      </c>
      <c r="CD6" s="111">
        <v>259</v>
      </c>
      <c r="CE6" s="109">
        <v>1.7000000000000001E-2</v>
      </c>
      <c r="CF6" s="104">
        <v>-563435</v>
      </c>
      <c r="CG6" s="105">
        <v>-8.9999999999999993E-3</v>
      </c>
      <c r="CH6" s="105">
        <v>6.0000000000000001E-3</v>
      </c>
      <c r="CI6" s="105">
        <v>-3.0000000000000001E-3</v>
      </c>
    </row>
    <row r="7" spans="1:87" s="222" customFormat="1" ht="22.8" x14ac:dyDescent="0.3">
      <c r="A7" s="14">
        <v>22</v>
      </c>
      <c r="B7" s="14" t="s">
        <v>143</v>
      </c>
      <c r="C7" s="14" t="s">
        <v>77</v>
      </c>
      <c r="D7" s="14">
        <v>3791</v>
      </c>
      <c r="E7" s="14">
        <v>2025</v>
      </c>
      <c r="F7" s="14" t="s">
        <v>275</v>
      </c>
      <c r="G7" s="14">
        <v>2</v>
      </c>
      <c r="H7" s="14">
        <v>6</v>
      </c>
      <c r="I7" s="14" t="s">
        <v>709</v>
      </c>
      <c r="J7" s="96">
        <v>0</v>
      </c>
      <c r="K7" s="96">
        <v>0</v>
      </c>
      <c r="L7" s="96">
        <v>0</v>
      </c>
      <c r="M7" s="96">
        <v>0</v>
      </c>
      <c r="N7" s="96">
        <v>0</v>
      </c>
      <c r="O7" s="96">
        <v>0</v>
      </c>
      <c r="P7" s="96">
        <v>0</v>
      </c>
      <c r="Q7" s="104">
        <v>0</v>
      </c>
      <c r="R7" s="96">
        <v>0</v>
      </c>
      <c r="S7" s="96">
        <v>0</v>
      </c>
      <c r="T7" s="96">
        <v>0</v>
      </c>
      <c r="U7" s="96">
        <v>0</v>
      </c>
      <c r="V7" s="96">
        <v>0</v>
      </c>
      <c r="W7" s="96">
        <v>0</v>
      </c>
      <c r="X7" s="104">
        <v>0</v>
      </c>
      <c r="Y7" s="96">
        <v>0</v>
      </c>
      <c r="Z7" s="104">
        <v>0</v>
      </c>
      <c r="AA7" s="104">
        <v>0</v>
      </c>
      <c r="AB7" s="96">
        <v>0</v>
      </c>
      <c r="AC7" s="96">
        <v>0</v>
      </c>
      <c r="AD7" s="96">
        <v>0</v>
      </c>
      <c r="AE7" s="96">
        <v>0</v>
      </c>
      <c r="AF7" s="104">
        <v>0</v>
      </c>
      <c r="AG7" s="96">
        <v>0</v>
      </c>
      <c r="AH7" s="96">
        <v>0</v>
      </c>
      <c r="AI7" s="96">
        <v>0</v>
      </c>
      <c r="AJ7" s="104">
        <v>0</v>
      </c>
      <c r="AK7" s="104">
        <v>0</v>
      </c>
      <c r="AL7" s="96">
        <v>0</v>
      </c>
      <c r="AM7" s="96">
        <v>0</v>
      </c>
      <c r="AN7" s="96">
        <v>0</v>
      </c>
      <c r="AO7" s="104">
        <v>0</v>
      </c>
      <c r="AP7" s="104">
        <v>0</v>
      </c>
      <c r="AQ7" s="96">
        <v>1624478000</v>
      </c>
      <c r="AR7" s="96">
        <v>0</v>
      </c>
      <c r="AS7" s="96">
        <v>683240000</v>
      </c>
      <c r="AT7" s="96">
        <v>0</v>
      </c>
      <c r="AU7" s="96">
        <v>0</v>
      </c>
      <c r="AV7" s="96">
        <v>0</v>
      </c>
      <c r="AW7" s="104">
        <v>2307718000</v>
      </c>
      <c r="AX7" s="96">
        <v>11701000</v>
      </c>
      <c r="AY7" s="96">
        <v>2149000</v>
      </c>
      <c r="AZ7" s="96">
        <v>2204000</v>
      </c>
      <c r="BA7" s="96">
        <v>0</v>
      </c>
      <c r="BB7" s="96">
        <v>48600000</v>
      </c>
      <c r="BC7" s="104">
        <v>64654000</v>
      </c>
      <c r="BD7" s="104">
        <v>2372372000</v>
      </c>
      <c r="BE7" s="96">
        <v>783224000</v>
      </c>
      <c r="BF7" s="96">
        <v>0</v>
      </c>
      <c r="BG7" s="96">
        <v>89947000</v>
      </c>
      <c r="BH7" s="96">
        <v>21428000</v>
      </c>
      <c r="BI7" s="96">
        <v>9739000</v>
      </c>
      <c r="BJ7" s="96">
        <v>1309969000</v>
      </c>
      <c r="BK7" s="96">
        <v>0</v>
      </c>
      <c r="BL7" s="104">
        <v>2214307000</v>
      </c>
      <c r="BM7" s="104">
        <v>158065000</v>
      </c>
      <c r="BN7" s="96">
        <v>-89663000</v>
      </c>
      <c r="BO7" s="96">
        <v>8913000</v>
      </c>
      <c r="BP7" s="96">
        <v>77315000</v>
      </c>
      <c r="BQ7" s="96">
        <v>0</v>
      </c>
      <c r="BR7" s="96">
        <v>0</v>
      </c>
      <c r="BS7" s="104">
        <v>77315000</v>
      </c>
      <c r="BT7" s="105">
        <v>3.9E-2</v>
      </c>
      <c r="BU7" s="105">
        <v>2.7E-2</v>
      </c>
      <c r="BV7" s="105">
        <v>6.7000000000000004E-2</v>
      </c>
      <c r="BW7" s="106">
        <v>0</v>
      </c>
      <c r="BX7" s="107">
        <v>0</v>
      </c>
      <c r="BY7" s="107">
        <v>0</v>
      </c>
      <c r="BZ7" s="108">
        <v>12.6</v>
      </c>
      <c r="CA7" s="109">
        <v>0</v>
      </c>
      <c r="CB7" s="109">
        <v>0</v>
      </c>
      <c r="CC7" s="110">
        <v>0</v>
      </c>
      <c r="CD7" s="111">
        <v>0</v>
      </c>
      <c r="CE7" s="109">
        <v>0</v>
      </c>
      <c r="CF7" s="104">
        <v>-20664201</v>
      </c>
      <c r="CG7" s="105">
        <v>-3.9E-2</v>
      </c>
      <c r="CH7" s="105">
        <v>-8.9999999999999993E-3</v>
      </c>
      <c r="CI7" s="105">
        <v>-4.8000000000000001E-2</v>
      </c>
    </row>
    <row r="8" spans="1:87" s="222" customFormat="1" ht="22.8" x14ac:dyDescent="0.3">
      <c r="A8" s="14">
        <v>25</v>
      </c>
      <c r="B8" s="14" t="s">
        <v>164</v>
      </c>
      <c r="C8" s="14" t="s">
        <v>77</v>
      </c>
      <c r="D8" s="14">
        <v>9991</v>
      </c>
      <c r="E8" s="14">
        <v>2025</v>
      </c>
      <c r="F8" s="14" t="s">
        <v>275</v>
      </c>
      <c r="G8" s="14">
        <v>2</v>
      </c>
      <c r="H8" s="14">
        <v>6</v>
      </c>
      <c r="I8" s="14" t="s">
        <v>709</v>
      </c>
      <c r="J8" s="96">
        <v>29264387</v>
      </c>
      <c r="K8" s="96">
        <v>0</v>
      </c>
      <c r="L8" s="96">
        <v>0</v>
      </c>
      <c r="M8" s="96">
        <v>30265118</v>
      </c>
      <c r="N8" s="96">
        <v>7012791</v>
      </c>
      <c r="O8" s="96">
        <v>10039422</v>
      </c>
      <c r="P8" s="96">
        <v>60030437</v>
      </c>
      <c r="Q8" s="104">
        <v>136612155</v>
      </c>
      <c r="R8" s="96">
        <v>93183324</v>
      </c>
      <c r="S8" s="96">
        <v>0</v>
      </c>
      <c r="T8" s="96">
        <v>0</v>
      </c>
      <c r="U8" s="96">
        <v>0</v>
      </c>
      <c r="V8" s="96">
        <v>385349011</v>
      </c>
      <c r="W8" s="96">
        <v>181530818</v>
      </c>
      <c r="X8" s="104">
        <v>203818193</v>
      </c>
      <c r="Y8" s="96">
        <v>40821234</v>
      </c>
      <c r="Z8" s="104">
        <v>337822751</v>
      </c>
      <c r="AA8" s="104">
        <v>474434906</v>
      </c>
      <c r="AB8" s="96">
        <v>8039064</v>
      </c>
      <c r="AC8" s="96">
        <v>25539502</v>
      </c>
      <c r="AD8" s="96">
        <v>0</v>
      </c>
      <c r="AE8" s="96">
        <v>92688123</v>
      </c>
      <c r="AF8" s="104">
        <v>126266689</v>
      </c>
      <c r="AG8" s="96">
        <v>92838449</v>
      </c>
      <c r="AH8" s="96">
        <v>0</v>
      </c>
      <c r="AI8" s="96">
        <v>7265361</v>
      </c>
      <c r="AJ8" s="104">
        <v>100103810</v>
      </c>
      <c r="AK8" s="104">
        <v>226370499</v>
      </c>
      <c r="AL8" s="96">
        <v>232515259</v>
      </c>
      <c r="AM8" s="96">
        <v>0</v>
      </c>
      <c r="AN8" s="96">
        <v>15549148</v>
      </c>
      <c r="AO8" s="104">
        <v>248064407</v>
      </c>
      <c r="AP8" s="104">
        <v>474434906</v>
      </c>
      <c r="AQ8" s="96">
        <v>149548982</v>
      </c>
      <c r="AR8" s="96">
        <v>9359446</v>
      </c>
      <c r="AS8" s="96">
        <v>50246366</v>
      </c>
      <c r="AT8" s="96">
        <v>0</v>
      </c>
      <c r="AU8" s="96">
        <v>0</v>
      </c>
      <c r="AV8" s="96">
        <v>323855</v>
      </c>
      <c r="AW8" s="104">
        <v>209478649</v>
      </c>
      <c r="AX8" s="96">
        <v>2111815</v>
      </c>
      <c r="AY8" s="96">
        <v>0</v>
      </c>
      <c r="AZ8" s="96">
        <v>0</v>
      </c>
      <c r="BA8" s="96">
        <v>6941066</v>
      </c>
      <c r="BB8" s="96">
        <v>46343960</v>
      </c>
      <c r="BC8" s="104">
        <v>55396841</v>
      </c>
      <c r="BD8" s="104">
        <v>264875490</v>
      </c>
      <c r="BE8" s="96">
        <v>125813043</v>
      </c>
      <c r="BF8" s="96">
        <v>0</v>
      </c>
      <c r="BG8" s="96">
        <v>8688417</v>
      </c>
      <c r="BH8" s="96">
        <v>1761589</v>
      </c>
      <c r="BI8" s="96">
        <v>9016146</v>
      </c>
      <c r="BJ8" s="96">
        <v>98577598</v>
      </c>
      <c r="BK8" s="96">
        <v>0</v>
      </c>
      <c r="BL8" s="104">
        <v>243856793</v>
      </c>
      <c r="BM8" s="104">
        <v>21018697</v>
      </c>
      <c r="BN8" s="96">
        <v>16974689</v>
      </c>
      <c r="BO8" s="96">
        <v>-20462385</v>
      </c>
      <c r="BP8" s="96">
        <v>17531001</v>
      </c>
      <c r="BQ8" s="96">
        <v>265588</v>
      </c>
      <c r="BR8" s="96">
        <v>0</v>
      </c>
      <c r="BS8" s="104">
        <v>17796589</v>
      </c>
      <c r="BT8" s="105">
        <v>-0.13</v>
      </c>
      <c r="BU8" s="105">
        <v>0.20899999999999999</v>
      </c>
      <c r="BV8" s="105">
        <v>7.9000000000000001E-2</v>
      </c>
      <c r="BW8" s="106">
        <v>1.1000000000000001</v>
      </c>
      <c r="BX8" s="107">
        <v>37</v>
      </c>
      <c r="BY8" s="107">
        <v>78</v>
      </c>
      <c r="BZ8" s="108">
        <v>3.2</v>
      </c>
      <c r="CA8" s="109">
        <v>0.13600000000000001</v>
      </c>
      <c r="CB8" s="109">
        <v>0.52300000000000002</v>
      </c>
      <c r="CC8" s="110">
        <v>21</v>
      </c>
      <c r="CD8" s="111">
        <v>23</v>
      </c>
      <c r="CE8" s="109">
        <v>0.28499999999999998</v>
      </c>
      <c r="CF8" s="104">
        <v>35420420</v>
      </c>
      <c r="CG8" s="105">
        <v>0.109</v>
      </c>
      <c r="CH8" s="105">
        <v>-1.2E-2</v>
      </c>
      <c r="CI8" s="105">
        <v>9.7000000000000003E-2</v>
      </c>
    </row>
    <row r="9" spans="1:87" s="222" customFormat="1" ht="22.8" x14ac:dyDescent="0.3">
      <c r="A9" s="57">
        <v>39</v>
      </c>
      <c r="B9" s="57" t="s">
        <v>124</v>
      </c>
      <c r="C9" s="57" t="s">
        <v>77</v>
      </c>
      <c r="D9" s="57">
        <v>3109</v>
      </c>
      <c r="E9" s="57">
        <v>2025</v>
      </c>
      <c r="F9" s="57" t="s">
        <v>275</v>
      </c>
      <c r="G9" s="57">
        <v>2</v>
      </c>
      <c r="H9" s="57">
        <v>6</v>
      </c>
      <c r="I9" s="57" t="s">
        <v>709</v>
      </c>
      <c r="J9" s="100">
        <v>29663943.219999999</v>
      </c>
      <c r="K9" s="100">
        <v>20327850.879999999</v>
      </c>
      <c r="L9" s="100">
        <v>0</v>
      </c>
      <c r="M9" s="100">
        <v>73196271</v>
      </c>
      <c r="N9" s="100">
        <v>23518079</v>
      </c>
      <c r="O9" s="100">
        <v>0</v>
      </c>
      <c r="P9" s="100">
        <v>16638014</v>
      </c>
      <c r="Q9" s="104">
        <v>163344158.09999999</v>
      </c>
      <c r="R9" s="100">
        <v>55787356</v>
      </c>
      <c r="S9" s="100">
        <v>0</v>
      </c>
      <c r="T9" s="100">
        <v>0</v>
      </c>
      <c r="U9" s="100">
        <v>0</v>
      </c>
      <c r="V9" s="100">
        <v>681119090</v>
      </c>
      <c r="W9" s="100">
        <v>348220544</v>
      </c>
      <c r="X9" s="104">
        <v>332898546</v>
      </c>
      <c r="Y9" s="100">
        <v>244259488</v>
      </c>
      <c r="Z9" s="104">
        <v>632945390</v>
      </c>
      <c r="AA9" s="104">
        <v>796289548.10000002</v>
      </c>
      <c r="AB9" s="100">
        <v>12416238</v>
      </c>
      <c r="AC9" s="100">
        <v>11146525.720000001</v>
      </c>
      <c r="AD9" s="100">
        <v>3912941.48</v>
      </c>
      <c r="AE9" s="100">
        <v>73635809.739999995</v>
      </c>
      <c r="AF9" s="104">
        <v>101111514.94</v>
      </c>
      <c r="AG9" s="100">
        <v>100156297</v>
      </c>
      <c r="AH9" s="100">
        <v>0</v>
      </c>
      <c r="AI9" s="100">
        <v>136199</v>
      </c>
      <c r="AJ9" s="104">
        <v>100292496</v>
      </c>
      <c r="AK9" s="104">
        <v>201404010.94</v>
      </c>
      <c r="AL9" s="100">
        <v>539090937</v>
      </c>
      <c r="AM9" s="100">
        <v>55794600</v>
      </c>
      <c r="AN9" s="100">
        <v>0</v>
      </c>
      <c r="AO9" s="104">
        <v>594885537</v>
      </c>
      <c r="AP9" s="104">
        <v>796289547.94000006</v>
      </c>
      <c r="AQ9" s="100">
        <v>369399424</v>
      </c>
      <c r="AR9" s="100">
        <v>0</v>
      </c>
      <c r="AS9" s="100">
        <v>4358799</v>
      </c>
      <c r="AT9" s="100">
        <v>0</v>
      </c>
      <c r="AU9" s="100">
        <v>0</v>
      </c>
      <c r="AV9" s="100">
        <v>86402</v>
      </c>
      <c r="AW9" s="104">
        <v>373844625</v>
      </c>
      <c r="AX9" s="100">
        <v>2906687</v>
      </c>
      <c r="AY9" s="100">
        <v>405236</v>
      </c>
      <c r="AZ9" s="100"/>
      <c r="BA9" s="100">
        <v>-4272662</v>
      </c>
      <c r="BB9" s="100">
        <v>0</v>
      </c>
      <c r="BC9" s="104">
        <v>-960739</v>
      </c>
      <c r="BD9" s="104">
        <v>372883886</v>
      </c>
      <c r="BE9" s="100">
        <v>180502491</v>
      </c>
      <c r="BF9" s="100">
        <v>0</v>
      </c>
      <c r="BG9" s="100">
        <v>12087792</v>
      </c>
      <c r="BH9" s="100">
        <v>213866</v>
      </c>
      <c r="BI9" s="100">
        <v>8777567</v>
      </c>
      <c r="BJ9" s="100">
        <v>149058616</v>
      </c>
      <c r="BK9" s="100">
        <v>0</v>
      </c>
      <c r="BL9" s="104">
        <v>350640332</v>
      </c>
      <c r="BM9" s="104">
        <v>22243554</v>
      </c>
      <c r="BN9" s="100">
        <v>-16033983</v>
      </c>
      <c r="BO9" s="100">
        <v>-150769</v>
      </c>
      <c r="BP9" s="100">
        <v>6058802</v>
      </c>
      <c r="BQ9" s="100">
        <v>0</v>
      </c>
      <c r="BR9" s="100">
        <v>0</v>
      </c>
      <c r="BS9" s="104">
        <v>6058802</v>
      </c>
      <c r="BT9" s="109">
        <v>6.2E-2</v>
      </c>
      <c r="BU9" s="109">
        <v>-3.0000000000000001E-3</v>
      </c>
      <c r="BV9" s="109">
        <v>0.06</v>
      </c>
      <c r="BW9" s="106">
        <v>1.6</v>
      </c>
      <c r="BX9" s="107">
        <v>36</v>
      </c>
      <c r="BY9" s="107">
        <v>48</v>
      </c>
      <c r="BZ9" s="108">
        <v>2.7</v>
      </c>
      <c r="CA9" s="109">
        <v>0.17100000000000001</v>
      </c>
      <c r="CB9" s="109">
        <v>0.747</v>
      </c>
      <c r="CC9" s="110">
        <v>29</v>
      </c>
      <c r="CD9" s="110"/>
      <c r="CE9" s="110"/>
      <c r="CF9" s="104">
        <v>1050000</v>
      </c>
      <c r="CG9" s="105">
        <v>-2.1000000000000001E-2</v>
      </c>
      <c r="CH9" s="105">
        <v>2.1000000000000001E-2</v>
      </c>
      <c r="CI9" s="105">
        <v>1E-3</v>
      </c>
    </row>
    <row r="10" spans="1:87" s="222" customFormat="1" ht="22.8" x14ac:dyDescent="0.3">
      <c r="A10" s="57">
        <v>40</v>
      </c>
      <c r="B10" s="57" t="s">
        <v>125</v>
      </c>
      <c r="C10" s="57" t="s">
        <v>77</v>
      </c>
      <c r="D10" s="57">
        <v>3109</v>
      </c>
      <c r="E10" s="57">
        <v>2025</v>
      </c>
      <c r="F10" s="57" t="s">
        <v>275</v>
      </c>
      <c r="G10" s="57">
        <v>2</v>
      </c>
      <c r="H10" s="57">
        <v>6</v>
      </c>
      <c r="I10" s="57" t="s">
        <v>709</v>
      </c>
      <c r="J10" s="100">
        <v>356508.84</v>
      </c>
      <c r="K10" s="100">
        <v>2968146.24</v>
      </c>
      <c r="L10" s="100">
        <v>0</v>
      </c>
      <c r="M10" s="100">
        <v>18204929.329999998</v>
      </c>
      <c r="N10" s="100">
        <v>0</v>
      </c>
      <c r="O10" s="100">
        <v>0</v>
      </c>
      <c r="P10" s="100">
        <v>6065298.8899999997</v>
      </c>
      <c r="Q10" s="104">
        <v>27594883.300000001</v>
      </c>
      <c r="R10" s="100">
        <v>20734427</v>
      </c>
      <c r="S10" s="100">
        <v>0</v>
      </c>
      <c r="T10" s="100">
        <v>0</v>
      </c>
      <c r="U10" s="100">
        <v>0</v>
      </c>
      <c r="V10" s="100">
        <v>214159710</v>
      </c>
      <c r="W10" s="100">
        <v>136746018</v>
      </c>
      <c r="X10" s="104">
        <v>77413692</v>
      </c>
      <c r="Y10" s="100">
        <v>219748284</v>
      </c>
      <c r="Z10" s="104">
        <v>317896403</v>
      </c>
      <c r="AA10" s="104">
        <v>345491286.30000001</v>
      </c>
      <c r="AB10" s="100">
        <v>2167631</v>
      </c>
      <c r="AC10" s="100">
        <v>3153596.12</v>
      </c>
      <c r="AD10" s="100">
        <v>46252093.75</v>
      </c>
      <c r="AE10" s="100">
        <v>13276497.300000001</v>
      </c>
      <c r="AF10" s="104">
        <v>64849818.170000002</v>
      </c>
      <c r="AG10" s="100">
        <v>12001194</v>
      </c>
      <c r="AH10" s="100">
        <v>0</v>
      </c>
      <c r="AI10" s="100">
        <v>41539</v>
      </c>
      <c r="AJ10" s="104">
        <v>12042733</v>
      </c>
      <c r="AK10" s="104">
        <v>76892551.170000002</v>
      </c>
      <c r="AL10" s="100">
        <v>247864308</v>
      </c>
      <c r="AM10" s="100">
        <v>20734427</v>
      </c>
      <c r="AN10" s="100">
        <v>0</v>
      </c>
      <c r="AO10" s="104">
        <v>268598735</v>
      </c>
      <c r="AP10" s="104">
        <v>345491286.17000002</v>
      </c>
      <c r="AQ10" s="100">
        <v>96465893</v>
      </c>
      <c r="AR10" s="100">
        <v>0</v>
      </c>
      <c r="AS10" s="100">
        <v>1168897</v>
      </c>
      <c r="AT10" s="100">
        <v>0</v>
      </c>
      <c r="AU10" s="100">
        <v>0</v>
      </c>
      <c r="AV10" s="100">
        <v>309417</v>
      </c>
      <c r="AW10" s="104">
        <v>97944207</v>
      </c>
      <c r="AX10" s="100">
        <v>2972900</v>
      </c>
      <c r="AY10" s="100">
        <v>702008</v>
      </c>
      <c r="AZ10" s="100"/>
      <c r="BA10" s="100">
        <v>-3901870</v>
      </c>
      <c r="BB10" s="100">
        <v>0</v>
      </c>
      <c r="BC10" s="104">
        <v>-226962</v>
      </c>
      <c r="BD10" s="104">
        <v>97717245</v>
      </c>
      <c r="BE10" s="100">
        <v>51567123</v>
      </c>
      <c r="BF10" s="100">
        <v>0</v>
      </c>
      <c r="BG10" s="100">
        <v>3141151</v>
      </c>
      <c r="BH10" s="100">
        <v>94915</v>
      </c>
      <c r="BI10" s="100">
        <v>1937449</v>
      </c>
      <c r="BJ10" s="100">
        <v>37896639</v>
      </c>
      <c r="BK10" s="100">
        <v>0</v>
      </c>
      <c r="BL10" s="104">
        <v>94637277</v>
      </c>
      <c r="BM10" s="104">
        <v>3079968</v>
      </c>
      <c r="BN10" s="100">
        <v>-5583740</v>
      </c>
      <c r="BO10" s="100">
        <v>-268914</v>
      </c>
      <c r="BP10" s="100">
        <v>-2772686</v>
      </c>
      <c r="BQ10" s="100">
        <v>0</v>
      </c>
      <c r="BR10" s="100">
        <v>0</v>
      </c>
      <c r="BS10" s="104">
        <v>-2772686</v>
      </c>
      <c r="BT10" s="109">
        <v>3.4000000000000002E-2</v>
      </c>
      <c r="BU10" s="109">
        <v>-2E-3</v>
      </c>
      <c r="BV10" s="109">
        <v>3.2000000000000001E-2</v>
      </c>
      <c r="BW10" s="106">
        <v>0.4</v>
      </c>
      <c r="BX10" s="107">
        <v>34</v>
      </c>
      <c r="BY10" s="107">
        <v>123</v>
      </c>
      <c r="BZ10" s="108">
        <v>2.8</v>
      </c>
      <c r="CA10" s="109">
        <v>8.1000000000000003E-2</v>
      </c>
      <c r="CB10" s="109">
        <v>0.77700000000000002</v>
      </c>
      <c r="CC10" s="110">
        <v>44</v>
      </c>
      <c r="CD10" s="110"/>
      <c r="CE10" s="110"/>
      <c r="CF10" s="104">
        <v>104641540.480001</v>
      </c>
      <c r="CG10" s="105">
        <v>-6.5000000000000002E-2</v>
      </c>
      <c r="CH10" s="105">
        <v>0.11799999999999999</v>
      </c>
      <c r="CI10" s="105">
        <v>5.2999999999999999E-2</v>
      </c>
    </row>
    <row r="11" spans="1:87" s="222" customFormat="1" ht="22.8" x14ac:dyDescent="0.3">
      <c r="A11" s="14">
        <v>46</v>
      </c>
      <c r="B11" s="14" t="s">
        <v>115</v>
      </c>
      <c r="C11" s="14" t="s">
        <v>77</v>
      </c>
      <c r="D11" s="14">
        <v>14286</v>
      </c>
      <c r="E11" s="14">
        <v>2025</v>
      </c>
      <c r="F11" s="14" t="s">
        <v>275</v>
      </c>
      <c r="G11" s="14">
        <v>2</v>
      </c>
      <c r="H11" s="14">
        <v>6</v>
      </c>
      <c r="I11" s="14" t="s">
        <v>709</v>
      </c>
      <c r="J11" s="96">
        <v>909000</v>
      </c>
      <c r="K11" s="96">
        <v>0</v>
      </c>
      <c r="L11" s="96">
        <v>0</v>
      </c>
      <c r="M11" s="96">
        <v>458867000</v>
      </c>
      <c r="N11" s="96">
        <v>2366981000</v>
      </c>
      <c r="O11" s="96">
        <v>30671000</v>
      </c>
      <c r="P11" s="96">
        <v>441980000</v>
      </c>
      <c r="Q11" s="104">
        <v>3299408000</v>
      </c>
      <c r="R11" s="96">
        <v>1961102000</v>
      </c>
      <c r="S11" s="96">
        <v>47393000</v>
      </c>
      <c r="T11" s="96">
        <v>0</v>
      </c>
      <c r="U11" s="96">
        <v>0</v>
      </c>
      <c r="V11" s="96">
        <v>5553706000</v>
      </c>
      <c r="W11" s="96">
        <v>2714732000</v>
      </c>
      <c r="X11" s="104">
        <v>2838974000</v>
      </c>
      <c r="Y11" s="96">
        <v>679306000</v>
      </c>
      <c r="Z11" s="104">
        <v>5526775000</v>
      </c>
      <c r="AA11" s="104">
        <v>8826183000</v>
      </c>
      <c r="AB11" s="96">
        <v>0</v>
      </c>
      <c r="AC11" s="96">
        <v>10947000</v>
      </c>
      <c r="AD11" s="96">
        <v>0</v>
      </c>
      <c r="AE11" s="96">
        <v>694700000</v>
      </c>
      <c r="AF11" s="104">
        <v>705647000</v>
      </c>
      <c r="AG11" s="96">
        <v>2009072000</v>
      </c>
      <c r="AH11" s="96">
        <v>0</v>
      </c>
      <c r="AI11" s="96">
        <v>744326000</v>
      </c>
      <c r="AJ11" s="104">
        <v>2753398000</v>
      </c>
      <c r="AK11" s="104">
        <v>3459045000</v>
      </c>
      <c r="AL11" s="96">
        <v>3104500000</v>
      </c>
      <c r="AM11" s="96">
        <v>1120456000</v>
      </c>
      <c r="AN11" s="96">
        <v>1142182000</v>
      </c>
      <c r="AO11" s="104">
        <v>5367138000</v>
      </c>
      <c r="AP11" s="104">
        <v>8826183000</v>
      </c>
      <c r="AQ11" s="96">
        <v>1122242000</v>
      </c>
      <c r="AR11" s="96">
        <v>0</v>
      </c>
      <c r="AS11" s="96">
        <v>377278000</v>
      </c>
      <c r="AT11" s="96">
        <v>0</v>
      </c>
      <c r="AU11" s="96">
        <v>0</v>
      </c>
      <c r="AV11" s="96">
        <v>57478000</v>
      </c>
      <c r="AW11" s="104">
        <v>1556998000</v>
      </c>
      <c r="AX11" s="96">
        <v>19505000</v>
      </c>
      <c r="AY11" s="96">
        <v>12201000</v>
      </c>
      <c r="AZ11" s="96">
        <v>-3279000</v>
      </c>
      <c r="BA11" s="96">
        <v>3789000</v>
      </c>
      <c r="BB11" s="96">
        <v>1543000</v>
      </c>
      <c r="BC11" s="104">
        <v>33759000</v>
      </c>
      <c r="BD11" s="104">
        <v>1590757000</v>
      </c>
      <c r="BE11" s="96">
        <v>665456000</v>
      </c>
      <c r="BF11" s="96">
        <v>0</v>
      </c>
      <c r="BG11" s="96">
        <v>100803000</v>
      </c>
      <c r="BH11" s="96">
        <v>25927000</v>
      </c>
      <c r="BI11" s="96">
        <v>36302000</v>
      </c>
      <c r="BJ11" s="96">
        <v>761219000</v>
      </c>
      <c r="BK11" s="96">
        <v>0</v>
      </c>
      <c r="BL11" s="104">
        <v>1589707000</v>
      </c>
      <c r="BM11" s="104">
        <v>1050000</v>
      </c>
      <c r="BN11" s="96">
        <v>0</v>
      </c>
      <c r="BO11" s="96">
        <v>9633000</v>
      </c>
      <c r="BP11" s="96">
        <v>10683000</v>
      </c>
      <c r="BQ11" s="96">
        <v>0</v>
      </c>
      <c r="BR11" s="96">
        <v>0</v>
      </c>
      <c r="BS11" s="104">
        <v>10683000</v>
      </c>
      <c r="BT11" s="105">
        <v>-2.1000000000000001E-2</v>
      </c>
      <c r="BU11" s="105">
        <v>2.1000000000000001E-2</v>
      </c>
      <c r="BV11" s="105">
        <v>1E-3</v>
      </c>
      <c r="BW11" s="106">
        <v>4.7</v>
      </c>
      <c r="BX11" s="107">
        <v>75</v>
      </c>
      <c r="BY11" s="107">
        <v>85</v>
      </c>
      <c r="BZ11" s="108">
        <v>4.9000000000000004</v>
      </c>
      <c r="CA11" s="109">
        <v>3.7999999999999999E-2</v>
      </c>
      <c r="CB11" s="109">
        <v>0.60799999999999998</v>
      </c>
      <c r="CC11" s="110">
        <v>27</v>
      </c>
      <c r="CD11" s="111">
        <v>0</v>
      </c>
      <c r="CE11" s="109">
        <v>0.39300000000000002</v>
      </c>
      <c r="CF11" s="104">
        <v>-26810290</v>
      </c>
      <c r="CG11" s="105">
        <v>-2.5000000000000001E-2</v>
      </c>
      <c r="CH11" s="105">
        <v>6.0000000000000001E-3</v>
      </c>
      <c r="CI11" s="105">
        <v>-1.9E-2</v>
      </c>
    </row>
    <row r="12" spans="1:87" s="222" customFormat="1" ht="22.8" x14ac:dyDescent="0.3">
      <c r="A12" s="57">
        <v>50</v>
      </c>
      <c r="B12" s="57" t="s">
        <v>144</v>
      </c>
      <c r="C12" s="57" t="s">
        <v>77</v>
      </c>
      <c r="D12" s="57">
        <v>3791</v>
      </c>
      <c r="E12" s="57">
        <v>2025</v>
      </c>
      <c r="F12" s="57" t="s">
        <v>275</v>
      </c>
      <c r="G12" s="57">
        <v>2</v>
      </c>
      <c r="H12" s="57">
        <v>6</v>
      </c>
      <c r="I12" s="57" t="s">
        <v>709</v>
      </c>
      <c r="J12" s="100">
        <v>0</v>
      </c>
      <c r="K12" s="100">
        <v>0</v>
      </c>
      <c r="L12" s="100">
        <v>0</v>
      </c>
      <c r="M12" s="100">
        <v>0</v>
      </c>
      <c r="N12" s="100">
        <v>0</v>
      </c>
      <c r="O12" s="100">
        <v>0</v>
      </c>
      <c r="P12" s="100">
        <v>0</v>
      </c>
      <c r="Q12" s="104">
        <v>0</v>
      </c>
      <c r="R12" s="100">
        <v>0</v>
      </c>
      <c r="S12" s="100">
        <v>0</v>
      </c>
      <c r="T12" s="100">
        <v>0</v>
      </c>
      <c r="U12" s="100">
        <v>0</v>
      </c>
      <c r="V12" s="100">
        <v>0</v>
      </c>
      <c r="W12" s="100">
        <v>0</v>
      </c>
      <c r="X12" s="104">
        <v>0</v>
      </c>
      <c r="Y12" s="100">
        <v>0</v>
      </c>
      <c r="Z12" s="104">
        <v>0</v>
      </c>
      <c r="AA12" s="104">
        <v>0</v>
      </c>
      <c r="AB12" s="100">
        <v>0</v>
      </c>
      <c r="AC12" s="100">
        <v>0</v>
      </c>
      <c r="AD12" s="100">
        <v>0</v>
      </c>
      <c r="AE12" s="100">
        <v>0</v>
      </c>
      <c r="AF12" s="104">
        <v>0</v>
      </c>
      <c r="AG12" s="100">
        <v>0</v>
      </c>
      <c r="AH12" s="100">
        <v>0</v>
      </c>
      <c r="AI12" s="100">
        <v>0</v>
      </c>
      <c r="AJ12" s="104">
        <v>0</v>
      </c>
      <c r="AK12" s="104">
        <v>0</v>
      </c>
      <c r="AL12" s="100">
        <v>0</v>
      </c>
      <c r="AM12" s="100">
        <v>0</v>
      </c>
      <c r="AN12" s="100">
        <v>0</v>
      </c>
      <c r="AO12" s="104">
        <v>0</v>
      </c>
      <c r="AP12" s="104">
        <v>0</v>
      </c>
      <c r="AQ12" s="100">
        <v>147093000</v>
      </c>
      <c r="AR12" s="100">
        <v>2775000</v>
      </c>
      <c r="AS12" s="100">
        <v>0</v>
      </c>
      <c r="AT12" s="100">
        <v>0</v>
      </c>
      <c r="AU12" s="100">
        <v>0</v>
      </c>
      <c r="AV12" s="100">
        <v>0</v>
      </c>
      <c r="AW12" s="104">
        <v>149868000</v>
      </c>
      <c r="AX12" s="100">
        <v>115000</v>
      </c>
      <c r="AY12" s="100">
        <v>-767000</v>
      </c>
      <c r="AZ12" s="100">
        <v>3000</v>
      </c>
      <c r="BA12" s="100">
        <v>0</v>
      </c>
      <c r="BB12" s="100">
        <v>-2257000</v>
      </c>
      <c r="BC12" s="104">
        <v>-2906000</v>
      </c>
      <c r="BD12" s="104">
        <v>146962000</v>
      </c>
      <c r="BE12" s="100">
        <v>65737000</v>
      </c>
      <c r="BF12" s="100">
        <v>0</v>
      </c>
      <c r="BG12" s="100">
        <v>4982000</v>
      </c>
      <c r="BH12" s="100">
        <v>551000</v>
      </c>
      <c r="BI12" s="100">
        <v>706000</v>
      </c>
      <c r="BJ12" s="100">
        <v>69189000</v>
      </c>
      <c r="BK12" s="100">
        <v>0</v>
      </c>
      <c r="BL12" s="104">
        <v>141165000</v>
      </c>
      <c r="BM12" s="104">
        <v>5797000</v>
      </c>
      <c r="BN12" s="100">
        <v>12064000</v>
      </c>
      <c r="BO12" s="100">
        <v>772000</v>
      </c>
      <c r="BP12" s="100">
        <v>18633000</v>
      </c>
      <c r="BQ12" s="100">
        <v>0</v>
      </c>
      <c r="BR12" s="100">
        <v>0</v>
      </c>
      <c r="BS12" s="104">
        <v>18633000</v>
      </c>
      <c r="BT12" s="105">
        <v>5.8999999999999997E-2</v>
      </c>
      <c r="BU12" s="105">
        <v>-0.02</v>
      </c>
      <c r="BV12" s="105">
        <v>3.9E-2</v>
      </c>
      <c r="BW12" s="106">
        <v>0</v>
      </c>
      <c r="BX12" s="107">
        <v>0</v>
      </c>
      <c r="BY12" s="107">
        <v>0</v>
      </c>
      <c r="BZ12" s="108">
        <v>20.6</v>
      </c>
      <c r="CA12" s="109">
        <v>0</v>
      </c>
      <c r="CB12" s="109">
        <v>0</v>
      </c>
      <c r="CC12" s="110">
        <v>0</v>
      </c>
      <c r="CD12" s="111">
        <v>0</v>
      </c>
      <c r="CE12" s="109">
        <v>0</v>
      </c>
      <c r="CF12" s="104">
        <v>245875</v>
      </c>
      <c r="CG12" s="105">
        <v>2E-3</v>
      </c>
      <c r="CH12" s="105">
        <v>0</v>
      </c>
      <c r="CI12" s="105">
        <v>3.0000000000000001E-3</v>
      </c>
    </row>
    <row r="13" spans="1:87" s="222" customFormat="1" ht="22.8" x14ac:dyDescent="0.3">
      <c r="A13" s="57">
        <v>51</v>
      </c>
      <c r="B13" s="57" t="s">
        <v>129</v>
      </c>
      <c r="C13" s="57" t="s">
        <v>77</v>
      </c>
      <c r="D13" s="57">
        <v>13155</v>
      </c>
      <c r="E13" s="57">
        <v>2025</v>
      </c>
      <c r="F13" s="57" t="s">
        <v>275</v>
      </c>
      <c r="G13" s="57">
        <v>2</v>
      </c>
      <c r="H13" s="57">
        <v>6</v>
      </c>
      <c r="I13" s="57" t="s">
        <v>709</v>
      </c>
      <c r="J13" s="100">
        <v>115880178.61399999</v>
      </c>
      <c r="K13" s="100">
        <v>0</v>
      </c>
      <c r="L13" s="100">
        <v>710923.48</v>
      </c>
      <c r="M13" s="100">
        <v>288057516.46399999</v>
      </c>
      <c r="N13" s="100">
        <v>0</v>
      </c>
      <c r="O13" s="100">
        <v>0</v>
      </c>
      <c r="P13" s="100">
        <v>396260479.54000002</v>
      </c>
      <c r="Q13" s="104">
        <v>800909098.09800005</v>
      </c>
      <c r="R13" s="100">
        <v>0</v>
      </c>
      <c r="S13" s="100">
        <v>58307601</v>
      </c>
      <c r="T13" s="100">
        <v>0</v>
      </c>
      <c r="U13" s="100">
        <v>0</v>
      </c>
      <c r="V13" s="100">
        <v>2376442148.9000001</v>
      </c>
      <c r="W13" s="100">
        <v>1340403214.3199999</v>
      </c>
      <c r="X13" s="104">
        <v>1036038934.58</v>
      </c>
      <c r="Y13" s="100">
        <v>3665513277.73</v>
      </c>
      <c r="Z13" s="104">
        <v>4759859813.3100004</v>
      </c>
      <c r="AA13" s="104">
        <v>5560768911.408</v>
      </c>
      <c r="AB13" s="100">
        <v>99084717.859999999</v>
      </c>
      <c r="AC13" s="100">
        <v>45916805.43</v>
      </c>
      <c r="AD13" s="100">
        <v>0</v>
      </c>
      <c r="AE13" s="100">
        <v>510583458.27499998</v>
      </c>
      <c r="AF13" s="104">
        <v>655584981.56500006</v>
      </c>
      <c r="AG13" s="100">
        <v>440432821.23000002</v>
      </c>
      <c r="AH13" s="100">
        <v>0</v>
      </c>
      <c r="AI13" s="100">
        <v>397713493.82999998</v>
      </c>
      <c r="AJ13" s="104">
        <v>838146315.05999994</v>
      </c>
      <c r="AK13" s="104">
        <v>1493731296.625</v>
      </c>
      <c r="AL13" s="100">
        <v>2105800023.5309999</v>
      </c>
      <c r="AM13" s="100">
        <v>1620743795.279</v>
      </c>
      <c r="AN13" s="100">
        <v>340493795.97000003</v>
      </c>
      <c r="AO13" s="104">
        <v>4067037614.7800002</v>
      </c>
      <c r="AP13" s="104">
        <v>5560768911.4049997</v>
      </c>
      <c r="AQ13" s="100">
        <v>1465859861.23</v>
      </c>
      <c r="AR13" s="100">
        <v>0</v>
      </c>
      <c r="AS13" s="100">
        <v>174543979.25999999</v>
      </c>
      <c r="AT13" s="100">
        <v>0</v>
      </c>
      <c r="AU13" s="100">
        <v>0</v>
      </c>
      <c r="AV13" s="100">
        <v>89978911.400000006</v>
      </c>
      <c r="AW13" s="104">
        <v>1730382751.8900001</v>
      </c>
      <c r="AX13" s="100">
        <v>-376166.15</v>
      </c>
      <c r="AY13" s="100">
        <v>188826579.61000001</v>
      </c>
      <c r="AZ13" s="100">
        <v>-9653893.4000000004</v>
      </c>
      <c r="BA13" s="100">
        <v>52587078.479999997</v>
      </c>
      <c r="BB13" s="100">
        <v>0</v>
      </c>
      <c r="BC13" s="104">
        <v>231383598.53999999</v>
      </c>
      <c r="BD13" s="104">
        <v>1961766350.4300001</v>
      </c>
      <c r="BE13" s="100">
        <v>587068751.91999996</v>
      </c>
      <c r="BF13" s="100">
        <v>0</v>
      </c>
      <c r="BG13" s="100">
        <v>47943845.409999996</v>
      </c>
      <c r="BH13" s="100">
        <v>8786666.1600000001</v>
      </c>
      <c r="BI13" s="100">
        <v>10397508</v>
      </c>
      <c r="BJ13" s="100">
        <v>1202928038.46</v>
      </c>
      <c r="BK13" s="100">
        <v>0</v>
      </c>
      <c r="BL13" s="104">
        <v>1857124809.95</v>
      </c>
      <c r="BM13" s="104">
        <v>104641540.480001</v>
      </c>
      <c r="BN13" s="100">
        <v>0</v>
      </c>
      <c r="BO13" s="100">
        <v>0</v>
      </c>
      <c r="BP13" s="100">
        <v>104641540.480001</v>
      </c>
      <c r="BQ13" s="100">
        <v>0</v>
      </c>
      <c r="BR13" s="100">
        <v>0</v>
      </c>
      <c r="BS13" s="104">
        <v>104641540.480001</v>
      </c>
      <c r="BT13" s="105">
        <v>-6.5000000000000002E-2</v>
      </c>
      <c r="BU13" s="105">
        <v>0.11799999999999999</v>
      </c>
      <c r="BV13" s="105">
        <v>5.2999999999999999E-2</v>
      </c>
      <c r="BW13" s="106">
        <v>1.2</v>
      </c>
      <c r="BX13" s="107">
        <v>36</v>
      </c>
      <c r="BY13" s="107">
        <v>61</v>
      </c>
      <c r="BZ13" s="108">
        <v>1.5</v>
      </c>
      <c r="CA13" s="109">
        <v>0.13900000000000001</v>
      </c>
      <c r="CB13" s="109">
        <v>0.73099999999999998</v>
      </c>
      <c r="CC13" s="110">
        <v>28</v>
      </c>
      <c r="CD13" s="111">
        <v>12</v>
      </c>
      <c r="CE13" s="109">
        <v>0.17299999999999999</v>
      </c>
      <c r="CF13" s="104">
        <v>-3642581</v>
      </c>
      <c r="CG13" s="105">
        <v>-7.9000000000000001E-2</v>
      </c>
      <c r="CH13" s="105">
        <v>5.0000000000000001E-3</v>
      </c>
      <c r="CI13" s="105">
        <v>-7.3999999999999996E-2</v>
      </c>
    </row>
    <row r="14" spans="1:87" s="222" customFormat="1" ht="22.8" x14ac:dyDescent="0.3">
      <c r="A14" s="57">
        <v>53</v>
      </c>
      <c r="B14" s="57" t="s">
        <v>93</v>
      </c>
      <c r="C14" s="57" t="s">
        <v>77</v>
      </c>
      <c r="D14" s="57">
        <v>16665</v>
      </c>
      <c r="E14" s="57">
        <v>2025</v>
      </c>
      <c r="F14" s="57" t="s">
        <v>275</v>
      </c>
      <c r="G14" s="57">
        <v>2</v>
      </c>
      <c r="H14" s="57">
        <v>6</v>
      </c>
      <c r="I14" s="57" t="s">
        <v>709</v>
      </c>
      <c r="J14" s="100">
        <v>-57000</v>
      </c>
      <c r="K14" s="100">
        <v>9198000</v>
      </c>
      <c r="L14" s="100">
        <v>0</v>
      </c>
      <c r="M14" s="100">
        <v>19456000</v>
      </c>
      <c r="N14" s="100">
        <v>15628000</v>
      </c>
      <c r="O14" s="100">
        <v>0</v>
      </c>
      <c r="P14" s="100">
        <v>3384000</v>
      </c>
      <c r="Q14" s="104">
        <v>47609000</v>
      </c>
      <c r="R14" s="100">
        <v>26618000</v>
      </c>
      <c r="S14" s="100">
        <v>13664000</v>
      </c>
      <c r="T14" s="100">
        <v>0</v>
      </c>
      <c r="U14" s="100">
        <v>0</v>
      </c>
      <c r="V14" s="100">
        <v>208597000</v>
      </c>
      <c r="W14" s="100">
        <v>107429000</v>
      </c>
      <c r="X14" s="104">
        <v>101168000</v>
      </c>
      <c r="Y14" s="100">
        <v>6726000</v>
      </c>
      <c r="Z14" s="104">
        <v>148176000</v>
      </c>
      <c r="AA14" s="104">
        <v>195785000</v>
      </c>
      <c r="AB14" s="100">
        <v>2541000</v>
      </c>
      <c r="AC14" s="100">
        <v>1315000</v>
      </c>
      <c r="AD14" s="100">
        <v>0</v>
      </c>
      <c r="AE14" s="100">
        <v>12127000</v>
      </c>
      <c r="AF14" s="104">
        <v>15983000</v>
      </c>
      <c r="AG14" s="100">
        <v>45604000</v>
      </c>
      <c r="AH14" s="100">
        <v>0</v>
      </c>
      <c r="AI14" s="100">
        <v>22000000</v>
      </c>
      <c r="AJ14" s="104">
        <v>67604000</v>
      </c>
      <c r="AK14" s="104">
        <v>83587000</v>
      </c>
      <c r="AL14" s="100">
        <v>74028000</v>
      </c>
      <c r="AM14" s="100">
        <v>30462000</v>
      </c>
      <c r="AN14" s="100">
        <v>7708000</v>
      </c>
      <c r="AO14" s="104">
        <v>112198000</v>
      </c>
      <c r="AP14" s="104">
        <v>195785000</v>
      </c>
      <c r="AQ14" s="100">
        <v>82934000</v>
      </c>
      <c r="AR14" s="100">
        <v>0</v>
      </c>
      <c r="AS14" s="100">
        <v>2949000</v>
      </c>
      <c r="AT14" s="100">
        <v>0</v>
      </c>
      <c r="AU14" s="100">
        <v>0</v>
      </c>
      <c r="AV14" s="100">
        <v>0</v>
      </c>
      <c r="AW14" s="104">
        <v>85883000</v>
      </c>
      <c r="AX14" s="100">
        <v>202000</v>
      </c>
      <c r="AY14" s="100">
        <v>0</v>
      </c>
      <c r="AZ14" s="100">
        <v>158000</v>
      </c>
      <c r="BA14" s="100">
        <v>0</v>
      </c>
      <c r="BB14" s="100">
        <v>0</v>
      </c>
      <c r="BC14" s="104">
        <v>360000</v>
      </c>
      <c r="BD14" s="104">
        <v>86243000</v>
      </c>
      <c r="BE14" s="100">
        <v>38418000</v>
      </c>
      <c r="BF14" s="100">
        <v>0</v>
      </c>
      <c r="BG14" s="100">
        <v>5145000</v>
      </c>
      <c r="BH14" s="100">
        <v>922000</v>
      </c>
      <c r="BI14" s="100">
        <v>960000</v>
      </c>
      <c r="BJ14" s="100">
        <v>37857000</v>
      </c>
      <c r="BK14" s="100">
        <v>0</v>
      </c>
      <c r="BL14" s="104">
        <v>83302000</v>
      </c>
      <c r="BM14" s="104">
        <v>2941000</v>
      </c>
      <c r="BN14" s="100">
        <v>0</v>
      </c>
      <c r="BO14" s="100">
        <v>3696000</v>
      </c>
      <c r="BP14" s="100">
        <v>6637000</v>
      </c>
      <c r="BQ14" s="100">
        <v>0</v>
      </c>
      <c r="BR14" s="100">
        <v>0</v>
      </c>
      <c r="BS14" s="104">
        <v>6637000</v>
      </c>
      <c r="BT14" s="105">
        <v>0.03</v>
      </c>
      <c r="BU14" s="105">
        <v>4.0000000000000001E-3</v>
      </c>
      <c r="BV14" s="105">
        <v>3.4000000000000002E-2</v>
      </c>
      <c r="BW14" s="106">
        <v>3</v>
      </c>
      <c r="BX14" s="107">
        <v>43</v>
      </c>
      <c r="BY14" s="107">
        <v>34</v>
      </c>
      <c r="BZ14" s="108">
        <v>2.6</v>
      </c>
      <c r="CA14" s="109">
        <v>0.129</v>
      </c>
      <c r="CB14" s="109">
        <v>0.57299999999999995</v>
      </c>
      <c r="CC14" s="110">
        <v>21</v>
      </c>
      <c r="CD14" s="111">
        <v>21</v>
      </c>
      <c r="CE14" s="109">
        <v>0.38100000000000001</v>
      </c>
      <c r="CF14" s="104">
        <v>-6762000</v>
      </c>
      <c r="CG14" s="105">
        <v>-4.8000000000000001E-2</v>
      </c>
      <c r="CH14" s="105">
        <v>8.9999999999999993E-3</v>
      </c>
      <c r="CI14" s="105">
        <v>-3.9E-2</v>
      </c>
    </row>
    <row r="15" spans="1:87" s="222" customFormat="1" ht="22.8" x14ac:dyDescent="0.3">
      <c r="A15" s="57">
        <v>57</v>
      </c>
      <c r="B15" s="57" t="s">
        <v>132</v>
      </c>
      <c r="C15" s="57" t="s">
        <v>77</v>
      </c>
      <c r="D15" s="57">
        <v>12776</v>
      </c>
      <c r="E15" s="57">
        <v>2025</v>
      </c>
      <c r="F15" s="57" t="s">
        <v>275</v>
      </c>
      <c r="G15" s="57">
        <v>2</v>
      </c>
      <c r="H15" s="57">
        <v>6</v>
      </c>
      <c r="I15" s="57" t="s">
        <v>709</v>
      </c>
      <c r="J15" s="100">
        <v>7703211</v>
      </c>
      <c r="K15" s="100">
        <v>0</v>
      </c>
      <c r="L15" s="100">
        <v>0</v>
      </c>
      <c r="M15" s="100">
        <v>39448636</v>
      </c>
      <c r="N15" s="100">
        <v>1106347</v>
      </c>
      <c r="O15" s="100">
        <v>3656845</v>
      </c>
      <c r="P15" s="100">
        <v>48110154</v>
      </c>
      <c r="Q15" s="104">
        <v>100025193</v>
      </c>
      <c r="R15" s="100">
        <v>137426</v>
      </c>
      <c r="S15" s="100">
        <v>0</v>
      </c>
      <c r="T15" s="100">
        <v>21221068</v>
      </c>
      <c r="U15" s="100">
        <v>0</v>
      </c>
      <c r="V15" s="100">
        <v>352750927</v>
      </c>
      <c r="W15" s="100">
        <v>242197199</v>
      </c>
      <c r="X15" s="104">
        <v>110553728</v>
      </c>
      <c r="Y15" s="100">
        <v>64512976</v>
      </c>
      <c r="Z15" s="104">
        <v>196425198</v>
      </c>
      <c r="AA15" s="104">
        <v>296450391</v>
      </c>
      <c r="AB15" s="100">
        <v>11203291</v>
      </c>
      <c r="AC15" s="100">
        <v>0</v>
      </c>
      <c r="AD15" s="100">
        <v>0</v>
      </c>
      <c r="AE15" s="100">
        <v>52542012</v>
      </c>
      <c r="AF15" s="104">
        <v>63745303</v>
      </c>
      <c r="AG15" s="100">
        <v>57666912</v>
      </c>
      <c r="AH15" s="100">
        <v>0</v>
      </c>
      <c r="AI15" s="100">
        <v>60521208</v>
      </c>
      <c r="AJ15" s="104">
        <v>118188120</v>
      </c>
      <c r="AK15" s="104">
        <v>181933423</v>
      </c>
      <c r="AL15" s="100">
        <v>95344858</v>
      </c>
      <c r="AM15" s="100">
        <v>16035677</v>
      </c>
      <c r="AN15" s="100">
        <v>3136433</v>
      </c>
      <c r="AO15" s="104">
        <v>114516968</v>
      </c>
      <c r="AP15" s="104">
        <v>296450391</v>
      </c>
      <c r="AQ15" s="100">
        <v>187905711</v>
      </c>
      <c r="AR15" s="100">
        <v>0</v>
      </c>
      <c r="AS15" s="100">
        <v>7769393</v>
      </c>
      <c r="AT15" s="100">
        <v>471173</v>
      </c>
      <c r="AU15" s="100">
        <v>0</v>
      </c>
      <c r="AV15" s="100">
        <v>869028</v>
      </c>
      <c r="AW15" s="104">
        <v>197015305</v>
      </c>
      <c r="AX15" s="100">
        <v>643777</v>
      </c>
      <c r="AY15" s="100">
        <v>593166</v>
      </c>
      <c r="AZ15" s="100">
        <v>-341270</v>
      </c>
      <c r="BA15" s="100">
        <v>361236</v>
      </c>
      <c r="BB15" s="100">
        <v>0</v>
      </c>
      <c r="BC15" s="104">
        <v>1256909</v>
      </c>
      <c r="BD15" s="104">
        <v>198272214</v>
      </c>
      <c r="BE15" s="100">
        <v>107860193</v>
      </c>
      <c r="BF15" s="100">
        <v>0</v>
      </c>
      <c r="BG15" s="100">
        <v>5830295</v>
      </c>
      <c r="BH15" s="100">
        <v>1158206</v>
      </c>
      <c r="BI15" s="100">
        <v>2576212</v>
      </c>
      <c r="BJ15" s="100">
        <v>80939570</v>
      </c>
      <c r="BK15" s="100">
        <v>0</v>
      </c>
      <c r="BL15" s="104">
        <v>198364476</v>
      </c>
      <c r="BM15" s="104">
        <v>-92262</v>
      </c>
      <c r="BN15" s="100">
        <v>603851</v>
      </c>
      <c r="BO15" s="100">
        <v>572032</v>
      </c>
      <c r="BP15" s="100">
        <v>1083621</v>
      </c>
      <c r="BQ15" s="100">
        <v>0</v>
      </c>
      <c r="BR15" s="100">
        <v>0</v>
      </c>
      <c r="BS15" s="104">
        <v>1083621</v>
      </c>
      <c r="BT15" s="105">
        <v>-7.0000000000000001E-3</v>
      </c>
      <c r="BU15" s="105">
        <v>6.0000000000000001E-3</v>
      </c>
      <c r="BV15" s="105">
        <v>0</v>
      </c>
      <c r="BW15" s="106">
        <v>1.6</v>
      </c>
      <c r="BX15" s="107">
        <v>38</v>
      </c>
      <c r="BY15" s="107">
        <v>60</v>
      </c>
      <c r="BZ15" s="108">
        <v>0.6</v>
      </c>
      <c r="CA15" s="109">
        <v>4.7E-2</v>
      </c>
      <c r="CB15" s="109">
        <v>0.38600000000000001</v>
      </c>
      <c r="CC15" s="110">
        <v>42</v>
      </c>
      <c r="CD15" s="111">
        <v>7</v>
      </c>
      <c r="CE15" s="109">
        <v>0.377</v>
      </c>
      <c r="CF15" s="104">
        <v>15218000</v>
      </c>
      <c r="CG15" s="105">
        <v>2.1000000000000001E-2</v>
      </c>
      <c r="CH15" s="105">
        <v>1E-3</v>
      </c>
      <c r="CI15" s="105">
        <v>2.1999999999999999E-2</v>
      </c>
    </row>
    <row r="16" spans="1:87" s="222" customFormat="1" ht="22.8" x14ac:dyDescent="0.3">
      <c r="A16" s="14">
        <v>59</v>
      </c>
      <c r="B16" s="14" t="s">
        <v>142</v>
      </c>
      <c r="C16" s="14" t="s">
        <v>77</v>
      </c>
      <c r="D16" s="14">
        <v>3791</v>
      </c>
      <c r="E16" s="14">
        <v>2025</v>
      </c>
      <c r="F16" s="14" t="s">
        <v>275</v>
      </c>
      <c r="G16" s="14">
        <v>2</v>
      </c>
      <c r="H16" s="14">
        <v>6</v>
      </c>
      <c r="I16" s="14" t="s">
        <v>709</v>
      </c>
      <c r="J16" s="96">
        <v>0</v>
      </c>
      <c r="K16" s="96">
        <v>0</v>
      </c>
      <c r="L16" s="96">
        <v>0</v>
      </c>
      <c r="M16" s="96">
        <v>0</v>
      </c>
      <c r="N16" s="96">
        <v>0</v>
      </c>
      <c r="O16" s="96">
        <v>0</v>
      </c>
      <c r="P16" s="96">
        <v>0</v>
      </c>
      <c r="Q16" s="104">
        <v>0</v>
      </c>
      <c r="R16" s="96">
        <v>0</v>
      </c>
      <c r="S16" s="96">
        <v>0</v>
      </c>
      <c r="T16" s="96">
        <v>0</v>
      </c>
      <c r="U16" s="96">
        <v>0</v>
      </c>
      <c r="V16" s="96">
        <v>0</v>
      </c>
      <c r="W16" s="96">
        <v>0</v>
      </c>
      <c r="X16" s="104">
        <v>0</v>
      </c>
      <c r="Y16" s="96">
        <v>0</v>
      </c>
      <c r="Z16" s="104">
        <v>0</v>
      </c>
      <c r="AA16" s="104">
        <v>0</v>
      </c>
      <c r="AB16" s="96">
        <v>0</v>
      </c>
      <c r="AC16" s="96">
        <v>0</v>
      </c>
      <c r="AD16" s="96">
        <v>0</v>
      </c>
      <c r="AE16" s="96">
        <v>0</v>
      </c>
      <c r="AF16" s="104">
        <v>0</v>
      </c>
      <c r="AG16" s="96">
        <v>0</v>
      </c>
      <c r="AH16" s="96">
        <v>0</v>
      </c>
      <c r="AI16" s="96">
        <v>0</v>
      </c>
      <c r="AJ16" s="104">
        <v>0</v>
      </c>
      <c r="AK16" s="104">
        <v>0</v>
      </c>
      <c r="AL16" s="96">
        <v>0</v>
      </c>
      <c r="AM16" s="96">
        <v>0</v>
      </c>
      <c r="AN16" s="96">
        <v>0</v>
      </c>
      <c r="AO16" s="104">
        <v>0</v>
      </c>
      <c r="AP16" s="104">
        <v>0</v>
      </c>
      <c r="AQ16" s="96">
        <v>202328000</v>
      </c>
      <c r="AR16" s="96">
        <v>0</v>
      </c>
      <c r="AS16" s="96">
        <v>4845000</v>
      </c>
      <c r="AT16" s="96">
        <v>0</v>
      </c>
      <c r="AU16" s="96">
        <v>0</v>
      </c>
      <c r="AV16" s="96">
        <v>0</v>
      </c>
      <c r="AW16" s="104">
        <v>207173000</v>
      </c>
      <c r="AX16" s="96">
        <v>574000</v>
      </c>
      <c r="AY16" s="96">
        <v>0</v>
      </c>
      <c r="AZ16" s="96">
        <v>-2000</v>
      </c>
      <c r="BA16" s="96">
        <v>0</v>
      </c>
      <c r="BB16" s="96">
        <v>237000</v>
      </c>
      <c r="BC16" s="104">
        <v>809000</v>
      </c>
      <c r="BD16" s="104">
        <v>207982000</v>
      </c>
      <c r="BE16" s="96">
        <v>102824000</v>
      </c>
      <c r="BF16" s="96">
        <v>0</v>
      </c>
      <c r="BG16" s="96">
        <v>8695000</v>
      </c>
      <c r="BH16" s="96">
        <v>1952000</v>
      </c>
      <c r="BI16" s="96">
        <v>1013000</v>
      </c>
      <c r="BJ16" s="96">
        <v>94304000</v>
      </c>
      <c r="BK16" s="96">
        <v>31</v>
      </c>
      <c r="BL16" s="104">
        <v>208788031</v>
      </c>
      <c r="BM16" s="104">
        <v>-806031</v>
      </c>
      <c r="BN16" s="96">
        <v>-7313000</v>
      </c>
      <c r="BO16" s="96">
        <v>0</v>
      </c>
      <c r="BP16" s="96">
        <v>-8119031</v>
      </c>
      <c r="BQ16" s="96">
        <v>0</v>
      </c>
      <c r="BR16" s="96">
        <v>0</v>
      </c>
      <c r="BS16" s="104">
        <v>-8119031</v>
      </c>
      <c r="BT16" s="105">
        <v>-8.0000000000000002E-3</v>
      </c>
      <c r="BU16" s="105">
        <v>4.0000000000000001E-3</v>
      </c>
      <c r="BV16" s="105">
        <v>-4.0000000000000001E-3</v>
      </c>
      <c r="BW16" s="106">
        <v>0</v>
      </c>
      <c r="BX16" s="107">
        <v>0</v>
      </c>
      <c r="BY16" s="107">
        <v>0</v>
      </c>
      <c r="BZ16" s="108">
        <v>5</v>
      </c>
      <c r="CA16" s="109">
        <v>0</v>
      </c>
      <c r="CB16" s="109">
        <v>0</v>
      </c>
      <c r="CC16" s="110">
        <v>0</v>
      </c>
      <c r="CD16" s="111">
        <v>0</v>
      </c>
      <c r="CE16" s="109">
        <v>0</v>
      </c>
      <c r="CF16" s="104">
        <v>82309000</v>
      </c>
      <c r="CG16" s="105">
        <v>3.7999999999999999E-2</v>
      </c>
      <c r="CH16" s="105">
        <v>1.2E-2</v>
      </c>
      <c r="CI16" s="105">
        <v>0.05</v>
      </c>
    </row>
    <row r="17" spans="1:87" s="222" customFormat="1" ht="22.8" x14ac:dyDescent="0.3">
      <c r="A17" s="57">
        <v>68</v>
      </c>
      <c r="B17" s="57" t="s">
        <v>198</v>
      </c>
      <c r="C17" s="57" t="s">
        <v>77</v>
      </c>
      <c r="D17" s="57">
        <v>6755</v>
      </c>
      <c r="E17" s="57">
        <v>2025</v>
      </c>
      <c r="F17" s="57" t="s">
        <v>275</v>
      </c>
      <c r="G17" s="57">
        <v>2</v>
      </c>
      <c r="H17" s="57">
        <v>6</v>
      </c>
      <c r="I17" s="57" t="s">
        <v>709</v>
      </c>
      <c r="J17" s="100">
        <v>1145000</v>
      </c>
      <c r="K17" s="100">
        <v>0</v>
      </c>
      <c r="L17" s="100">
        <v>0</v>
      </c>
      <c r="M17" s="100">
        <v>30579000</v>
      </c>
      <c r="N17" s="100">
        <v>127455000</v>
      </c>
      <c r="O17" s="100">
        <v>2372000</v>
      </c>
      <c r="P17" s="100">
        <v>5609000</v>
      </c>
      <c r="Q17" s="104">
        <v>167160000</v>
      </c>
      <c r="R17" s="100">
        <v>204000</v>
      </c>
      <c r="S17" s="100">
        <v>0</v>
      </c>
      <c r="T17" s="100">
        <v>0</v>
      </c>
      <c r="U17" s="100">
        <v>0</v>
      </c>
      <c r="V17" s="100">
        <v>125274000</v>
      </c>
      <c r="W17" s="100">
        <v>61125000</v>
      </c>
      <c r="X17" s="104">
        <v>64149000</v>
      </c>
      <c r="Y17" s="100">
        <v>58091000</v>
      </c>
      <c r="Z17" s="104">
        <v>122444000</v>
      </c>
      <c r="AA17" s="104">
        <v>289604000</v>
      </c>
      <c r="AB17" s="100">
        <v>0</v>
      </c>
      <c r="AC17" s="100">
        <v>2330000</v>
      </c>
      <c r="AD17" s="100">
        <v>166586000</v>
      </c>
      <c r="AE17" s="100">
        <v>16571000</v>
      </c>
      <c r="AF17" s="104">
        <v>185487000</v>
      </c>
      <c r="AG17" s="100">
        <v>0</v>
      </c>
      <c r="AH17" s="100">
        <v>22960000</v>
      </c>
      <c r="AI17" s="100">
        <v>6990000</v>
      </c>
      <c r="AJ17" s="104">
        <v>29950000</v>
      </c>
      <c r="AK17" s="104">
        <v>215437000</v>
      </c>
      <c r="AL17" s="100">
        <v>65922000</v>
      </c>
      <c r="AM17" s="100">
        <v>809000</v>
      </c>
      <c r="AN17" s="100">
        <v>7434000</v>
      </c>
      <c r="AO17" s="104">
        <v>74165000</v>
      </c>
      <c r="AP17" s="104">
        <v>289602000</v>
      </c>
      <c r="AQ17" s="100">
        <v>95761000</v>
      </c>
      <c r="AR17" s="100">
        <v>0</v>
      </c>
      <c r="AS17" s="100">
        <v>5841000</v>
      </c>
      <c r="AT17" s="100">
        <v>0</v>
      </c>
      <c r="AU17" s="100">
        <v>0</v>
      </c>
      <c r="AV17" s="100">
        <v>0</v>
      </c>
      <c r="AW17" s="104">
        <v>101602000</v>
      </c>
      <c r="AX17" s="100">
        <v>680000</v>
      </c>
      <c r="AY17" s="100">
        <v>3095000</v>
      </c>
      <c r="AZ17" s="100"/>
      <c r="BA17" s="100">
        <v>-196000</v>
      </c>
      <c r="BB17" s="100">
        <v>0</v>
      </c>
      <c r="BC17" s="104">
        <v>3579000</v>
      </c>
      <c r="BD17" s="104">
        <v>105181000</v>
      </c>
      <c r="BE17" s="100">
        <v>50901000</v>
      </c>
      <c r="BF17" s="100">
        <v>0</v>
      </c>
      <c r="BG17" s="100">
        <v>3366000</v>
      </c>
      <c r="BH17" s="100">
        <v>1309000</v>
      </c>
      <c r="BI17" s="100">
        <v>1125000</v>
      </c>
      <c r="BJ17" s="100">
        <v>49123000</v>
      </c>
      <c r="BK17" s="100">
        <v>0</v>
      </c>
      <c r="BL17" s="104">
        <v>105824000</v>
      </c>
      <c r="BM17" s="104">
        <v>-643000</v>
      </c>
      <c r="BN17" s="100">
        <v>2173000</v>
      </c>
      <c r="BO17" s="100">
        <v>0</v>
      </c>
      <c r="BP17" s="100">
        <v>1530000</v>
      </c>
      <c r="BQ17" s="100">
        <v>0</v>
      </c>
      <c r="BR17" s="100">
        <v>0</v>
      </c>
      <c r="BS17" s="104">
        <v>1530000</v>
      </c>
      <c r="BT17" s="109">
        <v>-0.04</v>
      </c>
      <c r="BU17" s="109">
        <v>3.4000000000000002E-2</v>
      </c>
      <c r="BV17" s="109">
        <v>-6.0000000000000001E-3</v>
      </c>
      <c r="BW17" s="106">
        <v>0.9</v>
      </c>
      <c r="BX17" s="107">
        <v>58</v>
      </c>
      <c r="BY17" s="107">
        <v>326</v>
      </c>
      <c r="BZ17" s="108">
        <v>3.1</v>
      </c>
      <c r="CA17" s="109">
        <v>1.4999999999999999E-2</v>
      </c>
      <c r="CB17" s="109">
        <v>0.25600000000000001</v>
      </c>
      <c r="CC17" s="110">
        <v>18</v>
      </c>
      <c r="CD17" s="110"/>
      <c r="CE17" s="110"/>
      <c r="CF17" s="104">
        <v>4750000</v>
      </c>
      <c r="CG17" s="105">
        <v>0.06</v>
      </c>
      <c r="CH17" s="105">
        <v>-5.0000000000000001E-3</v>
      </c>
      <c r="CI17" s="105">
        <v>5.3999999999999999E-2</v>
      </c>
    </row>
    <row r="18" spans="1:87" s="222" customFormat="1" ht="22.8" x14ac:dyDescent="0.3">
      <c r="A18" s="57">
        <v>73</v>
      </c>
      <c r="B18" s="57" t="s">
        <v>136</v>
      </c>
      <c r="C18" s="57" t="s">
        <v>77</v>
      </c>
      <c r="D18" s="57">
        <v>12807</v>
      </c>
      <c r="E18" s="57">
        <v>2025</v>
      </c>
      <c r="F18" s="57" t="s">
        <v>275</v>
      </c>
      <c r="G18" s="57">
        <v>2</v>
      </c>
      <c r="H18" s="57">
        <v>6</v>
      </c>
      <c r="I18" s="57" t="s">
        <v>709</v>
      </c>
      <c r="J18" s="100">
        <v>4215740</v>
      </c>
      <c r="K18" s="100">
        <v>0</v>
      </c>
      <c r="L18" s="100">
        <v>0</v>
      </c>
      <c r="M18" s="100">
        <v>20488890</v>
      </c>
      <c r="N18" s="100">
        <v>0</v>
      </c>
      <c r="O18" s="100">
        <v>0</v>
      </c>
      <c r="P18" s="100">
        <v>4712648</v>
      </c>
      <c r="Q18" s="104">
        <v>29417278</v>
      </c>
      <c r="R18" s="100">
        <v>3672836</v>
      </c>
      <c r="S18" s="100">
        <v>0</v>
      </c>
      <c r="T18" s="100">
        <v>0</v>
      </c>
      <c r="U18" s="100">
        <v>0</v>
      </c>
      <c r="V18" s="100">
        <v>143546020</v>
      </c>
      <c r="W18" s="100">
        <v>88126364</v>
      </c>
      <c r="X18" s="104">
        <v>55419656</v>
      </c>
      <c r="Y18" s="100">
        <v>13540170</v>
      </c>
      <c r="Z18" s="104">
        <v>72632662</v>
      </c>
      <c r="AA18" s="104">
        <v>102049940</v>
      </c>
      <c r="AB18" s="100">
        <v>2370658</v>
      </c>
      <c r="AC18" s="100">
        <v>846326</v>
      </c>
      <c r="AD18" s="100">
        <v>0</v>
      </c>
      <c r="AE18" s="100">
        <v>34437188</v>
      </c>
      <c r="AF18" s="104">
        <v>37654172</v>
      </c>
      <c r="AG18" s="100">
        <v>51381331</v>
      </c>
      <c r="AH18" s="100">
        <v>0</v>
      </c>
      <c r="AI18" s="100">
        <v>32897571</v>
      </c>
      <c r="AJ18" s="104">
        <v>84278902</v>
      </c>
      <c r="AK18" s="104">
        <v>121933074</v>
      </c>
      <c r="AL18" s="100">
        <v>-25351641</v>
      </c>
      <c r="AM18" s="100">
        <v>0</v>
      </c>
      <c r="AN18" s="100">
        <v>5468507</v>
      </c>
      <c r="AO18" s="104">
        <v>-19883134</v>
      </c>
      <c r="AP18" s="104">
        <v>102049940</v>
      </c>
      <c r="AQ18" s="100">
        <v>84365034</v>
      </c>
      <c r="AR18" s="100">
        <v>0</v>
      </c>
      <c r="AS18" s="100">
        <v>13723719</v>
      </c>
      <c r="AT18" s="100">
        <v>0</v>
      </c>
      <c r="AU18" s="100">
        <v>0</v>
      </c>
      <c r="AV18" s="100">
        <v>0</v>
      </c>
      <c r="AW18" s="104">
        <v>98088753</v>
      </c>
      <c r="AX18" s="100">
        <v>8738</v>
      </c>
      <c r="AY18" s="100">
        <v>0</v>
      </c>
      <c r="AZ18" s="100">
        <v>0</v>
      </c>
      <c r="BA18" s="100">
        <v>0</v>
      </c>
      <c r="BB18" s="100">
        <v>0</v>
      </c>
      <c r="BC18" s="104">
        <v>8738</v>
      </c>
      <c r="BD18" s="104">
        <v>98097491</v>
      </c>
      <c r="BE18" s="100">
        <v>45210475</v>
      </c>
      <c r="BF18" s="100">
        <v>0</v>
      </c>
      <c r="BG18" s="100">
        <v>2504308</v>
      </c>
      <c r="BH18" s="100">
        <v>547220</v>
      </c>
      <c r="BI18" s="100">
        <v>6188852</v>
      </c>
      <c r="BJ18" s="100">
        <v>43400761</v>
      </c>
      <c r="BK18" s="100">
        <v>0</v>
      </c>
      <c r="BL18" s="104">
        <v>97851616</v>
      </c>
      <c r="BM18" s="104">
        <v>245875</v>
      </c>
      <c r="BN18" s="100">
        <v>2307241</v>
      </c>
      <c r="BO18" s="100">
        <v>0</v>
      </c>
      <c r="BP18" s="100">
        <v>2553116</v>
      </c>
      <c r="BQ18" s="100">
        <v>0</v>
      </c>
      <c r="BR18" s="100">
        <v>0</v>
      </c>
      <c r="BS18" s="104">
        <v>2553116</v>
      </c>
      <c r="BT18" s="105">
        <v>2E-3</v>
      </c>
      <c r="BU18" s="105">
        <v>0</v>
      </c>
      <c r="BV18" s="105">
        <v>3.0000000000000001E-3</v>
      </c>
      <c r="BW18" s="106">
        <v>0.8</v>
      </c>
      <c r="BX18" s="107">
        <v>44</v>
      </c>
      <c r="BY18" s="107">
        <v>70</v>
      </c>
      <c r="BZ18" s="108">
        <v>1.1000000000000001</v>
      </c>
      <c r="CA18" s="109">
        <v>3.1E-2</v>
      </c>
      <c r="CB18" s="109">
        <v>-0.19500000000000001</v>
      </c>
      <c r="CC18" s="110">
        <v>35</v>
      </c>
      <c r="CD18" s="111">
        <v>8</v>
      </c>
      <c r="CE18" s="109">
        <v>1.974</v>
      </c>
      <c r="CF18" s="104">
        <v>253950000</v>
      </c>
      <c r="CG18" s="105">
        <v>4.1000000000000002E-2</v>
      </c>
      <c r="CH18" s="105">
        <v>2.9000000000000001E-2</v>
      </c>
      <c r="CI18" s="105">
        <v>7.0000000000000007E-2</v>
      </c>
    </row>
    <row r="19" spans="1:87" s="222" customFormat="1" ht="22.8" x14ac:dyDescent="0.3">
      <c r="A19" s="14">
        <v>75</v>
      </c>
      <c r="B19" s="14" t="s">
        <v>176</v>
      </c>
      <c r="C19" s="14" t="s">
        <v>77</v>
      </c>
      <c r="D19" s="14">
        <v>13156</v>
      </c>
      <c r="E19" s="14">
        <v>2025</v>
      </c>
      <c r="F19" s="14" t="s">
        <v>275</v>
      </c>
      <c r="G19" s="14">
        <v>2</v>
      </c>
      <c r="H19" s="14">
        <v>6</v>
      </c>
      <c r="I19" s="14" t="s">
        <v>709</v>
      </c>
      <c r="J19" s="96">
        <v>0</v>
      </c>
      <c r="K19" s="96">
        <v>0</v>
      </c>
      <c r="L19" s="96">
        <v>0</v>
      </c>
      <c r="M19" s="96">
        <v>0</v>
      </c>
      <c r="N19" s="96">
        <v>0</v>
      </c>
      <c r="O19" s="96">
        <v>0</v>
      </c>
      <c r="P19" s="96">
        <v>0</v>
      </c>
      <c r="Q19" s="104">
        <v>0</v>
      </c>
      <c r="R19" s="96">
        <v>0</v>
      </c>
      <c r="S19" s="96">
        <v>0</v>
      </c>
      <c r="T19" s="96">
        <v>0</v>
      </c>
      <c r="U19" s="96">
        <v>0</v>
      </c>
      <c r="V19" s="96">
        <v>0</v>
      </c>
      <c r="W19" s="96">
        <v>0</v>
      </c>
      <c r="X19" s="104">
        <v>0</v>
      </c>
      <c r="Y19" s="96">
        <v>0</v>
      </c>
      <c r="Z19" s="104">
        <v>0</v>
      </c>
      <c r="AA19" s="104">
        <v>0</v>
      </c>
      <c r="AB19" s="96">
        <v>0</v>
      </c>
      <c r="AC19" s="96">
        <v>0</v>
      </c>
      <c r="AD19" s="96">
        <v>0</v>
      </c>
      <c r="AE19" s="96">
        <v>0</v>
      </c>
      <c r="AF19" s="104">
        <v>0</v>
      </c>
      <c r="AG19" s="96">
        <v>0</v>
      </c>
      <c r="AH19" s="96">
        <v>0</v>
      </c>
      <c r="AI19" s="96">
        <v>0</v>
      </c>
      <c r="AJ19" s="104">
        <v>0</v>
      </c>
      <c r="AK19" s="104">
        <v>0</v>
      </c>
      <c r="AL19" s="96">
        <v>0</v>
      </c>
      <c r="AM19" s="96">
        <v>0</v>
      </c>
      <c r="AN19" s="96">
        <v>0</v>
      </c>
      <c r="AO19" s="104">
        <v>0</v>
      </c>
      <c r="AP19" s="104">
        <v>0</v>
      </c>
      <c r="AQ19" s="96">
        <v>101792000</v>
      </c>
      <c r="AR19" s="96">
        <v>0</v>
      </c>
      <c r="AS19" s="96">
        <v>818000</v>
      </c>
      <c r="AT19" s="96">
        <v>0</v>
      </c>
      <c r="AU19" s="96">
        <v>0</v>
      </c>
      <c r="AV19" s="96">
        <v>0</v>
      </c>
      <c r="AW19" s="104">
        <v>102610000</v>
      </c>
      <c r="AX19" s="96">
        <v>0</v>
      </c>
      <c r="AY19" s="96">
        <v>0</v>
      </c>
      <c r="AZ19" s="96">
        <v>0</v>
      </c>
      <c r="BA19" s="96">
        <v>0</v>
      </c>
      <c r="BB19" s="96">
        <v>0</v>
      </c>
      <c r="BC19" s="104">
        <v>0</v>
      </c>
      <c r="BD19" s="104">
        <v>102610000</v>
      </c>
      <c r="BE19" s="96">
        <v>49603000</v>
      </c>
      <c r="BF19" s="96">
        <v>0</v>
      </c>
      <c r="BG19" s="96">
        <v>2429000</v>
      </c>
      <c r="BH19" s="96">
        <v>0</v>
      </c>
      <c r="BI19" s="96">
        <v>0</v>
      </c>
      <c r="BJ19" s="96">
        <v>66513000</v>
      </c>
      <c r="BK19" s="96">
        <v>0</v>
      </c>
      <c r="BL19" s="104">
        <v>118545000</v>
      </c>
      <c r="BM19" s="104">
        <v>-15935000</v>
      </c>
      <c r="BN19" s="96">
        <v>0</v>
      </c>
      <c r="BO19" s="96">
        <v>0</v>
      </c>
      <c r="BP19" s="96">
        <v>-15935000</v>
      </c>
      <c r="BQ19" s="96">
        <v>0</v>
      </c>
      <c r="BR19" s="96">
        <v>0</v>
      </c>
      <c r="BS19" s="104">
        <v>-15935000</v>
      </c>
      <c r="BT19" s="105">
        <v>-0.155</v>
      </c>
      <c r="BU19" s="105">
        <v>0</v>
      </c>
      <c r="BV19" s="105">
        <v>-0.155</v>
      </c>
      <c r="BW19" s="106">
        <v>0</v>
      </c>
      <c r="BX19" s="107">
        <v>0</v>
      </c>
      <c r="BY19" s="107">
        <v>0</v>
      </c>
      <c r="BZ19" s="108">
        <v>0</v>
      </c>
      <c r="CA19" s="109">
        <v>0</v>
      </c>
      <c r="CB19" s="109">
        <v>0</v>
      </c>
      <c r="CC19" s="110">
        <v>0</v>
      </c>
      <c r="CD19" s="111">
        <v>0</v>
      </c>
      <c r="CE19" s="109">
        <v>0</v>
      </c>
      <c r="CF19" s="104">
        <v>1481000</v>
      </c>
      <c r="CG19" s="105">
        <v>0.02</v>
      </c>
      <c r="CH19" s="105">
        <v>0</v>
      </c>
      <c r="CI19" s="105">
        <v>0.02</v>
      </c>
    </row>
    <row r="20" spans="1:87" s="222" customFormat="1" ht="22.8" x14ac:dyDescent="0.3">
      <c r="A20" s="57">
        <v>77</v>
      </c>
      <c r="B20" s="57" t="s">
        <v>205</v>
      </c>
      <c r="C20" s="57" t="s">
        <v>77</v>
      </c>
      <c r="D20" s="57">
        <v>12767</v>
      </c>
      <c r="E20" s="57">
        <v>2025</v>
      </c>
      <c r="F20" s="57" t="s">
        <v>275</v>
      </c>
      <c r="G20" s="57">
        <v>2</v>
      </c>
      <c r="H20" s="57">
        <v>6</v>
      </c>
      <c r="I20" s="57" t="s">
        <v>709</v>
      </c>
      <c r="J20" s="100">
        <v>15071185</v>
      </c>
      <c r="K20" s="100">
        <v>66622</v>
      </c>
      <c r="L20" s="100">
        <v>0</v>
      </c>
      <c r="M20" s="100">
        <v>29462200</v>
      </c>
      <c r="N20" s="100">
        <v>0</v>
      </c>
      <c r="O20" s="100">
        <v>0</v>
      </c>
      <c r="P20" s="100">
        <v>14592943</v>
      </c>
      <c r="Q20" s="104">
        <v>59192950</v>
      </c>
      <c r="R20" s="100">
        <v>4252675</v>
      </c>
      <c r="S20" s="100">
        <v>0</v>
      </c>
      <c r="T20" s="100">
        <v>4161505</v>
      </c>
      <c r="U20" s="100">
        <v>0</v>
      </c>
      <c r="V20" s="100">
        <v>183339847</v>
      </c>
      <c r="W20" s="100">
        <v>125030884</v>
      </c>
      <c r="X20" s="104">
        <v>58308963</v>
      </c>
      <c r="Y20" s="100">
        <v>4357811</v>
      </c>
      <c r="Z20" s="104">
        <v>71080954</v>
      </c>
      <c r="AA20" s="104">
        <v>130273904</v>
      </c>
      <c r="AB20" s="100">
        <v>2548888</v>
      </c>
      <c r="AC20" s="100">
        <v>5716975</v>
      </c>
      <c r="AD20" s="100">
        <v>0</v>
      </c>
      <c r="AE20" s="100">
        <v>49781830</v>
      </c>
      <c r="AF20" s="104">
        <v>58047693</v>
      </c>
      <c r="AG20" s="100">
        <v>18683145</v>
      </c>
      <c r="AH20" s="100">
        <v>0</v>
      </c>
      <c r="AI20" s="100">
        <v>4895623</v>
      </c>
      <c r="AJ20" s="104">
        <v>23578768</v>
      </c>
      <c r="AK20" s="104">
        <v>81626461</v>
      </c>
      <c r="AL20" s="100">
        <v>43273130</v>
      </c>
      <c r="AM20" s="100">
        <v>2681563</v>
      </c>
      <c r="AN20" s="100">
        <v>2692750</v>
      </c>
      <c r="AO20" s="104">
        <v>48647443</v>
      </c>
      <c r="AP20" s="104">
        <v>130273904</v>
      </c>
      <c r="AQ20" s="100">
        <v>119604797</v>
      </c>
      <c r="AR20" s="100">
        <v>0</v>
      </c>
      <c r="AS20" s="100">
        <v>24470170</v>
      </c>
      <c r="AT20" s="100">
        <v>0</v>
      </c>
      <c r="AU20" s="100">
        <v>0</v>
      </c>
      <c r="AV20" s="100">
        <v>4654</v>
      </c>
      <c r="AW20" s="104">
        <v>144079621</v>
      </c>
      <c r="AX20" s="100">
        <v>102192</v>
      </c>
      <c r="AY20" s="100">
        <v>23714</v>
      </c>
      <c r="AZ20" s="100"/>
      <c r="BA20" s="100">
        <v>218769</v>
      </c>
      <c r="BB20" s="100">
        <v>0</v>
      </c>
      <c r="BC20" s="104">
        <v>140121</v>
      </c>
      <c r="BD20" s="104">
        <v>144219742</v>
      </c>
      <c r="BE20" s="100">
        <v>83190542</v>
      </c>
      <c r="BF20" s="100">
        <v>0</v>
      </c>
      <c r="BG20" s="100">
        <v>3400002</v>
      </c>
      <c r="BH20" s="100">
        <v>463658</v>
      </c>
      <c r="BI20" s="100">
        <v>1752984</v>
      </c>
      <c r="BJ20" s="100">
        <v>50025648</v>
      </c>
      <c r="BK20" s="100">
        <v>0</v>
      </c>
      <c r="BL20" s="104">
        <v>138832834</v>
      </c>
      <c r="BM20" s="104">
        <v>5386908</v>
      </c>
      <c r="BN20" s="100">
        <v>3741530</v>
      </c>
      <c r="BO20" s="100">
        <v>35077</v>
      </c>
      <c r="BP20" s="100">
        <v>9163515</v>
      </c>
      <c r="BQ20" s="100">
        <v>0</v>
      </c>
      <c r="BR20" s="100">
        <v>0</v>
      </c>
      <c r="BS20" s="104">
        <v>9163515</v>
      </c>
      <c r="BT20" s="109">
        <v>3.5999999999999997E-2</v>
      </c>
      <c r="BU20" s="109">
        <v>1E-3</v>
      </c>
      <c r="BV20" s="109">
        <v>3.6999999999999998E-2</v>
      </c>
      <c r="BW20" s="106">
        <v>1</v>
      </c>
      <c r="BX20" s="107">
        <v>45</v>
      </c>
      <c r="BY20" s="107">
        <v>71</v>
      </c>
      <c r="BZ20" s="108">
        <v>3.1</v>
      </c>
      <c r="CA20" s="109">
        <v>0.115</v>
      </c>
      <c r="CB20" s="109">
        <v>0.373</v>
      </c>
      <c r="CC20" s="110">
        <v>37</v>
      </c>
      <c r="CD20" s="110"/>
      <c r="CE20" s="110"/>
      <c r="CF20" s="104">
        <v>4970194</v>
      </c>
      <c r="CG20" s="105">
        <v>0.114</v>
      </c>
      <c r="CH20" s="105">
        <v>-0.01</v>
      </c>
      <c r="CI20" s="105">
        <v>0.104</v>
      </c>
    </row>
    <row r="21" spans="1:87" s="222" customFormat="1" ht="22.8" x14ac:dyDescent="0.3">
      <c r="A21" s="57">
        <v>79</v>
      </c>
      <c r="B21" s="57" t="s">
        <v>94</v>
      </c>
      <c r="C21" s="57" t="s">
        <v>77</v>
      </c>
      <c r="D21" s="57">
        <v>16665</v>
      </c>
      <c r="E21" s="57">
        <v>2025</v>
      </c>
      <c r="F21" s="57" t="s">
        <v>275</v>
      </c>
      <c r="G21" s="57">
        <v>2</v>
      </c>
      <c r="H21" s="57">
        <v>6</v>
      </c>
      <c r="I21" s="57" t="s">
        <v>709</v>
      </c>
      <c r="J21" s="100">
        <v>15000</v>
      </c>
      <c r="K21" s="100">
        <v>22569000</v>
      </c>
      <c r="L21" s="100">
        <v>0</v>
      </c>
      <c r="M21" s="100">
        <v>46626000</v>
      </c>
      <c r="N21" s="100">
        <v>0</v>
      </c>
      <c r="O21" s="100">
        <v>0</v>
      </c>
      <c r="P21" s="100">
        <v>8115000</v>
      </c>
      <c r="Q21" s="104">
        <v>77325000</v>
      </c>
      <c r="R21" s="100">
        <v>19663000</v>
      </c>
      <c r="S21" s="100">
        <v>3194000</v>
      </c>
      <c r="T21" s="100">
        <v>0</v>
      </c>
      <c r="U21" s="100">
        <v>0</v>
      </c>
      <c r="V21" s="100">
        <v>232688000</v>
      </c>
      <c r="W21" s="100">
        <v>104841000</v>
      </c>
      <c r="X21" s="104">
        <v>127847000</v>
      </c>
      <c r="Y21" s="100">
        <v>30294000</v>
      </c>
      <c r="Z21" s="104">
        <v>180998000</v>
      </c>
      <c r="AA21" s="104">
        <v>258323000</v>
      </c>
      <c r="AB21" s="100">
        <v>1778000</v>
      </c>
      <c r="AC21" s="100">
        <v>5608000</v>
      </c>
      <c r="AD21" s="100">
        <v>65830000</v>
      </c>
      <c r="AE21" s="100">
        <v>29033000</v>
      </c>
      <c r="AF21" s="104">
        <v>102249000</v>
      </c>
      <c r="AG21" s="100">
        <v>33897000</v>
      </c>
      <c r="AH21" s="100">
        <v>0</v>
      </c>
      <c r="AI21" s="100">
        <v>31062000</v>
      </c>
      <c r="AJ21" s="104">
        <v>64959000</v>
      </c>
      <c r="AK21" s="104">
        <v>167208000</v>
      </c>
      <c r="AL21" s="100">
        <v>68198000</v>
      </c>
      <c r="AM21" s="100">
        <v>11580000</v>
      </c>
      <c r="AN21" s="100">
        <v>11337000</v>
      </c>
      <c r="AO21" s="104">
        <v>91115000</v>
      </c>
      <c r="AP21" s="104">
        <v>258323000</v>
      </c>
      <c r="AQ21" s="100">
        <v>184109000</v>
      </c>
      <c r="AR21" s="100">
        <v>0</v>
      </c>
      <c r="AS21" s="100">
        <v>8101000</v>
      </c>
      <c r="AT21" s="100">
        <v>0</v>
      </c>
      <c r="AU21" s="100">
        <v>0</v>
      </c>
      <c r="AV21" s="100">
        <v>0</v>
      </c>
      <c r="AW21" s="104">
        <v>192210000</v>
      </c>
      <c r="AX21" s="100">
        <v>644000</v>
      </c>
      <c r="AY21" s="100">
        <v>0</v>
      </c>
      <c r="AZ21" s="100">
        <v>493000</v>
      </c>
      <c r="BA21" s="100">
        <v>126000</v>
      </c>
      <c r="BB21" s="100">
        <v>11000</v>
      </c>
      <c r="BC21" s="104">
        <v>1274000</v>
      </c>
      <c r="BD21" s="104">
        <v>193484000</v>
      </c>
      <c r="BE21" s="100">
        <v>83497000</v>
      </c>
      <c r="BF21" s="100">
        <v>0</v>
      </c>
      <c r="BG21" s="100">
        <v>6466000</v>
      </c>
      <c r="BH21" s="100">
        <v>758000</v>
      </c>
      <c r="BI21" s="100">
        <v>3549000</v>
      </c>
      <c r="BJ21" s="100">
        <v>96191000</v>
      </c>
      <c r="BK21" s="100">
        <v>0</v>
      </c>
      <c r="BL21" s="104">
        <v>190461000</v>
      </c>
      <c r="BM21" s="104">
        <v>3023000</v>
      </c>
      <c r="BN21" s="100">
        <v>0</v>
      </c>
      <c r="BO21" s="100">
        <v>0</v>
      </c>
      <c r="BP21" s="100">
        <v>3023000</v>
      </c>
      <c r="BQ21" s="100">
        <v>0</v>
      </c>
      <c r="BR21" s="100">
        <v>0</v>
      </c>
      <c r="BS21" s="104">
        <v>3023000</v>
      </c>
      <c r="BT21" s="105">
        <v>8.9999999999999993E-3</v>
      </c>
      <c r="BU21" s="105">
        <v>7.0000000000000001E-3</v>
      </c>
      <c r="BV21" s="105">
        <v>1.6E-2</v>
      </c>
      <c r="BW21" s="106">
        <v>0.8</v>
      </c>
      <c r="BX21" s="107">
        <v>46</v>
      </c>
      <c r="BY21" s="107">
        <v>96</v>
      </c>
      <c r="BZ21" s="108">
        <v>3.8</v>
      </c>
      <c r="CA21" s="109">
        <v>6.6000000000000003E-2</v>
      </c>
      <c r="CB21" s="109">
        <v>0.35299999999999998</v>
      </c>
      <c r="CC21" s="110">
        <v>16</v>
      </c>
      <c r="CD21" s="111">
        <v>22</v>
      </c>
      <c r="CE21" s="109">
        <v>0.33200000000000002</v>
      </c>
      <c r="CF21" s="104">
        <v>-33791106</v>
      </c>
      <c r="CG21" s="105">
        <v>-0.23400000000000001</v>
      </c>
      <c r="CH21" s="105">
        <v>1E-3</v>
      </c>
      <c r="CI21" s="105">
        <v>-0.23300000000000001</v>
      </c>
    </row>
    <row r="22" spans="1:87" s="222" customFormat="1" ht="22.8" x14ac:dyDescent="0.3">
      <c r="A22" s="57">
        <v>83</v>
      </c>
      <c r="B22" s="57" t="s">
        <v>139</v>
      </c>
      <c r="C22" s="57" t="s">
        <v>77</v>
      </c>
      <c r="D22" s="57">
        <v>13156</v>
      </c>
      <c r="E22" s="57">
        <v>2025</v>
      </c>
      <c r="F22" s="57" t="s">
        <v>275</v>
      </c>
      <c r="G22" s="57">
        <v>2</v>
      </c>
      <c r="H22" s="57">
        <v>6</v>
      </c>
      <c r="I22" s="57" t="s">
        <v>709</v>
      </c>
      <c r="J22" s="100">
        <v>6484000</v>
      </c>
      <c r="K22" s="100">
        <v>3348000</v>
      </c>
      <c r="L22" s="100">
        <v>0</v>
      </c>
      <c r="M22" s="100">
        <v>42304000</v>
      </c>
      <c r="N22" s="100">
        <v>78005000</v>
      </c>
      <c r="O22" s="100">
        <v>14509000</v>
      </c>
      <c r="P22" s="100">
        <v>20821000</v>
      </c>
      <c r="Q22" s="104">
        <v>165471000</v>
      </c>
      <c r="R22" s="100">
        <v>14487000</v>
      </c>
      <c r="S22" s="100">
        <v>0</v>
      </c>
      <c r="T22" s="100">
        <v>0</v>
      </c>
      <c r="U22" s="100">
        <v>20074000</v>
      </c>
      <c r="V22" s="100">
        <v>287014000</v>
      </c>
      <c r="W22" s="100">
        <v>198179000</v>
      </c>
      <c r="X22" s="104">
        <v>88835000</v>
      </c>
      <c r="Y22" s="100">
        <v>44380000</v>
      </c>
      <c r="Z22" s="104">
        <v>167776000</v>
      </c>
      <c r="AA22" s="104">
        <v>333247000</v>
      </c>
      <c r="AB22" s="100">
        <v>1562000</v>
      </c>
      <c r="AC22" s="100">
        <v>0</v>
      </c>
      <c r="AD22" s="100">
        <v>74580000</v>
      </c>
      <c r="AE22" s="100">
        <v>90264000</v>
      </c>
      <c r="AF22" s="104">
        <v>166406000</v>
      </c>
      <c r="AG22" s="100">
        <v>67159000</v>
      </c>
      <c r="AH22" s="100">
        <v>0</v>
      </c>
      <c r="AI22" s="100">
        <v>77791000</v>
      </c>
      <c r="AJ22" s="104">
        <v>144950000</v>
      </c>
      <c r="AK22" s="104">
        <v>311356000</v>
      </c>
      <c r="AL22" s="100">
        <v>20791000</v>
      </c>
      <c r="AM22" s="100">
        <v>0</v>
      </c>
      <c r="AN22" s="100">
        <v>1100000</v>
      </c>
      <c r="AO22" s="104">
        <v>21891000</v>
      </c>
      <c r="AP22" s="104">
        <v>333247000</v>
      </c>
      <c r="AQ22" s="100">
        <v>153836000</v>
      </c>
      <c r="AR22" s="100">
        <v>0</v>
      </c>
      <c r="AS22" s="100">
        <v>18042000</v>
      </c>
      <c r="AT22" s="100">
        <v>0</v>
      </c>
      <c r="AU22" s="100">
        <v>0</v>
      </c>
      <c r="AV22" s="100">
        <v>0</v>
      </c>
      <c r="AW22" s="104">
        <v>171878000</v>
      </c>
      <c r="AX22" s="100">
        <v>351000</v>
      </c>
      <c r="AY22" s="100">
        <v>0</v>
      </c>
      <c r="AZ22" s="100">
        <v>-89000</v>
      </c>
      <c r="BA22" s="100">
        <v>0</v>
      </c>
      <c r="BB22" s="100">
        <v>1352000</v>
      </c>
      <c r="BC22" s="104">
        <v>1614000</v>
      </c>
      <c r="BD22" s="104">
        <v>173492000</v>
      </c>
      <c r="BE22" s="100">
        <v>81353000</v>
      </c>
      <c r="BF22" s="100">
        <v>0</v>
      </c>
      <c r="BG22" s="100">
        <v>6041000</v>
      </c>
      <c r="BH22" s="100">
        <v>1844000</v>
      </c>
      <c r="BI22" s="100">
        <v>6575604</v>
      </c>
      <c r="BJ22" s="100">
        <v>84440396</v>
      </c>
      <c r="BK22" s="100">
        <v>0</v>
      </c>
      <c r="BL22" s="104">
        <v>180254000</v>
      </c>
      <c r="BM22" s="104">
        <v>-6762000</v>
      </c>
      <c r="BN22" s="100">
        <v>0</v>
      </c>
      <c r="BO22" s="100">
        <v>-17000</v>
      </c>
      <c r="BP22" s="100">
        <v>-6779000</v>
      </c>
      <c r="BQ22" s="100">
        <v>0</v>
      </c>
      <c r="BR22" s="100">
        <v>0</v>
      </c>
      <c r="BS22" s="104">
        <v>-6779000</v>
      </c>
      <c r="BT22" s="105">
        <v>-4.8000000000000001E-2</v>
      </c>
      <c r="BU22" s="105">
        <v>8.9999999999999993E-3</v>
      </c>
      <c r="BV22" s="105">
        <v>-3.9E-2</v>
      </c>
      <c r="BW22" s="106">
        <v>1</v>
      </c>
      <c r="BX22" s="107">
        <v>50</v>
      </c>
      <c r="BY22" s="107">
        <v>174</v>
      </c>
      <c r="BZ22" s="108">
        <v>0.4</v>
      </c>
      <c r="CA22" s="109">
        <v>-3.0000000000000001E-3</v>
      </c>
      <c r="CB22" s="109">
        <v>6.6000000000000003E-2</v>
      </c>
      <c r="CC22" s="110">
        <v>33</v>
      </c>
      <c r="CD22" s="111">
        <v>10</v>
      </c>
      <c r="CE22" s="109">
        <v>0.76400000000000001</v>
      </c>
      <c r="CF22" s="104">
        <v>1652183</v>
      </c>
      <c r="CG22" s="105">
        <v>7.2999999999999995E-2</v>
      </c>
      <c r="CH22" s="105">
        <v>0</v>
      </c>
      <c r="CI22" s="105">
        <v>7.2999999999999995E-2</v>
      </c>
    </row>
    <row r="23" spans="1:87" s="222" customFormat="1" ht="22.8" x14ac:dyDescent="0.3">
      <c r="A23" s="57">
        <v>85</v>
      </c>
      <c r="B23" s="57" t="s">
        <v>191</v>
      </c>
      <c r="C23" s="57" t="s">
        <v>77</v>
      </c>
      <c r="D23" s="57">
        <v>12775</v>
      </c>
      <c r="E23" s="57">
        <v>2025</v>
      </c>
      <c r="F23" s="57" t="s">
        <v>275</v>
      </c>
      <c r="G23" s="57">
        <v>2</v>
      </c>
      <c r="H23" s="57">
        <v>6</v>
      </c>
      <c r="I23" s="57" t="s">
        <v>709</v>
      </c>
      <c r="J23" s="100">
        <v>15691000</v>
      </c>
      <c r="K23" s="100">
        <v>0</v>
      </c>
      <c r="L23" s="100">
        <v>2378000</v>
      </c>
      <c r="M23" s="100">
        <v>71616000</v>
      </c>
      <c r="N23" s="100">
        <v>35606000</v>
      </c>
      <c r="O23" s="100">
        <v>23991000</v>
      </c>
      <c r="P23" s="100">
        <v>13087000</v>
      </c>
      <c r="Q23" s="104">
        <v>162369000</v>
      </c>
      <c r="R23" s="100">
        <v>6476000</v>
      </c>
      <c r="S23" s="100">
        <v>0</v>
      </c>
      <c r="T23" s="100">
        <v>0</v>
      </c>
      <c r="U23" s="100">
        <v>17671000</v>
      </c>
      <c r="V23" s="100">
        <v>605001000</v>
      </c>
      <c r="W23" s="100">
        <v>397309000</v>
      </c>
      <c r="X23" s="104">
        <v>207692000</v>
      </c>
      <c r="Y23" s="100">
        <v>12209000</v>
      </c>
      <c r="Z23" s="104">
        <v>244048000</v>
      </c>
      <c r="AA23" s="104">
        <v>406417000</v>
      </c>
      <c r="AB23" s="100">
        <v>1450000</v>
      </c>
      <c r="AC23" s="100">
        <v>29000</v>
      </c>
      <c r="AD23" s="100">
        <v>20890000</v>
      </c>
      <c r="AE23" s="100">
        <v>92059000</v>
      </c>
      <c r="AF23" s="104">
        <v>114428000</v>
      </c>
      <c r="AG23" s="100">
        <v>73318000</v>
      </c>
      <c r="AH23" s="100">
        <v>0</v>
      </c>
      <c r="AI23" s="100">
        <v>37059000</v>
      </c>
      <c r="AJ23" s="104">
        <v>110377000</v>
      </c>
      <c r="AK23" s="104">
        <v>224805000</v>
      </c>
      <c r="AL23" s="100">
        <v>171429000</v>
      </c>
      <c r="AM23" s="100">
        <v>4927000</v>
      </c>
      <c r="AN23" s="100">
        <v>5256000</v>
      </c>
      <c r="AO23" s="104">
        <v>181612000</v>
      </c>
      <c r="AP23" s="104">
        <v>406417000</v>
      </c>
      <c r="AQ23" s="100">
        <v>321188000</v>
      </c>
      <c r="AR23" s="100">
        <v>0</v>
      </c>
      <c r="AS23" s="100">
        <v>17892000</v>
      </c>
      <c r="AT23" s="100">
        <v>0</v>
      </c>
      <c r="AU23" s="100">
        <v>0</v>
      </c>
      <c r="AV23" s="100">
        <v>566000</v>
      </c>
      <c r="AW23" s="104">
        <v>339646000</v>
      </c>
      <c r="AX23" s="100">
        <v>187000</v>
      </c>
      <c r="AY23" s="100">
        <v>0</v>
      </c>
      <c r="AZ23" s="100">
        <v>698000</v>
      </c>
      <c r="BA23" s="100">
        <v>0</v>
      </c>
      <c r="BB23" s="100">
        <v>-1448000</v>
      </c>
      <c r="BC23" s="104">
        <v>-563000</v>
      </c>
      <c r="BD23" s="104">
        <v>339083000</v>
      </c>
      <c r="BE23" s="100">
        <v>147474000</v>
      </c>
      <c r="BF23" s="100">
        <v>12715000</v>
      </c>
      <c r="BG23" s="100">
        <v>11806000</v>
      </c>
      <c r="BH23" s="100">
        <v>5860000</v>
      </c>
      <c r="BI23" s="100">
        <v>19509000</v>
      </c>
      <c r="BJ23" s="100">
        <v>125235000</v>
      </c>
      <c r="BK23" s="100">
        <v>0</v>
      </c>
      <c r="BL23" s="104">
        <v>322599000</v>
      </c>
      <c r="BM23" s="104">
        <v>16484000</v>
      </c>
      <c r="BN23" s="100">
        <v>-13236000</v>
      </c>
      <c r="BO23" s="100">
        <v>-10000</v>
      </c>
      <c r="BP23" s="100">
        <v>3238000</v>
      </c>
      <c r="BQ23" s="100">
        <v>0</v>
      </c>
      <c r="BR23" s="100">
        <v>0</v>
      </c>
      <c r="BS23" s="104">
        <v>3238000</v>
      </c>
      <c r="BT23" s="105">
        <v>0.05</v>
      </c>
      <c r="BU23" s="105">
        <v>-2E-3</v>
      </c>
      <c r="BV23" s="105">
        <v>4.9000000000000002E-2</v>
      </c>
      <c r="BW23" s="106">
        <v>1.4</v>
      </c>
      <c r="BX23" s="107">
        <v>41</v>
      </c>
      <c r="BY23" s="107">
        <v>67</v>
      </c>
      <c r="BZ23" s="108">
        <v>4.7</v>
      </c>
      <c r="CA23" s="109">
        <v>0.151</v>
      </c>
      <c r="CB23" s="109">
        <v>0.44700000000000001</v>
      </c>
      <c r="CC23" s="110">
        <v>34</v>
      </c>
      <c r="CD23" s="111">
        <v>9</v>
      </c>
      <c r="CE23" s="109">
        <v>0.3</v>
      </c>
      <c r="CF23" s="104">
        <v>-1669161</v>
      </c>
      <c r="CG23" s="105">
        <v>-1.4999999999999999E-2</v>
      </c>
      <c r="CH23" s="105">
        <v>0</v>
      </c>
      <c r="CI23" s="105">
        <v>-1.4999999999999999E-2</v>
      </c>
    </row>
    <row r="24" spans="1:87" s="222" customFormat="1" ht="22.8" x14ac:dyDescent="0.3">
      <c r="A24" s="14">
        <v>88</v>
      </c>
      <c r="B24" s="14" t="s">
        <v>145</v>
      </c>
      <c r="C24" s="14" t="s">
        <v>77</v>
      </c>
      <c r="D24" s="14">
        <v>3791</v>
      </c>
      <c r="E24" s="14">
        <v>2025</v>
      </c>
      <c r="F24" s="14" t="s">
        <v>275</v>
      </c>
      <c r="G24" s="14">
        <v>2</v>
      </c>
      <c r="H24" s="14">
        <v>6</v>
      </c>
      <c r="I24" s="14" t="s">
        <v>709</v>
      </c>
      <c r="J24" s="96">
        <v>0</v>
      </c>
      <c r="K24" s="96">
        <v>0</v>
      </c>
      <c r="L24" s="96">
        <v>0</v>
      </c>
      <c r="M24" s="96">
        <v>0</v>
      </c>
      <c r="N24" s="96">
        <v>0</v>
      </c>
      <c r="O24" s="96">
        <v>0</v>
      </c>
      <c r="P24" s="96">
        <v>0</v>
      </c>
      <c r="Q24" s="104">
        <v>0</v>
      </c>
      <c r="R24" s="96">
        <v>0</v>
      </c>
      <c r="S24" s="96">
        <v>0</v>
      </c>
      <c r="T24" s="96">
        <v>0</v>
      </c>
      <c r="U24" s="96">
        <v>0</v>
      </c>
      <c r="V24" s="96">
        <v>0</v>
      </c>
      <c r="W24" s="96">
        <v>0</v>
      </c>
      <c r="X24" s="104">
        <v>0</v>
      </c>
      <c r="Y24" s="96">
        <v>0</v>
      </c>
      <c r="Z24" s="104">
        <v>0</v>
      </c>
      <c r="AA24" s="104">
        <v>0</v>
      </c>
      <c r="AB24" s="96">
        <v>0</v>
      </c>
      <c r="AC24" s="96">
        <v>0</v>
      </c>
      <c r="AD24" s="96">
        <v>0</v>
      </c>
      <c r="AE24" s="96">
        <v>0</v>
      </c>
      <c r="AF24" s="104">
        <v>0</v>
      </c>
      <c r="AG24" s="96">
        <v>0</v>
      </c>
      <c r="AH24" s="96">
        <v>0</v>
      </c>
      <c r="AI24" s="96">
        <v>0</v>
      </c>
      <c r="AJ24" s="104">
        <v>0</v>
      </c>
      <c r="AK24" s="104">
        <v>0</v>
      </c>
      <c r="AL24" s="96">
        <v>0</v>
      </c>
      <c r="AM24" s="96">
        <v>0</v>
      </c>
      <c r="AN24" s="96">
        <v>0</v>
      </c>
      <c r="AO24" s="104">
        <v>0</v>
      </c>
      <c r="AP24" s="104">
        <v>0</v>
      </c>
      <c r="AQ24" s="96">
        <v>65647000</v>
      </c>
      <c r="AR24" s="96">
        <v>0</v>
      </c>
      <c r="AS24" s="96">
        <v>4428000</v>
      </c>
      <c r="AT24" s="96">
        <v>0</v>
      </c>
      <c r="AU24" s="96">
        <v>0</v>
      </c>
      <c r="AV24" s="96">
        <v>0</v>
      </c>
      <c r="AW24" s="104">
        <v>70075000</v>
      </c>
      <c r="AX24" s="96">
        <v>1247000</v>
      </c>
      <c r="AY24" s="96">
        <v>-227000</v>
      </c>
      <c r="AZ24" s="96">
        <v>19000</v>
      </c>
      <c r="BA24" s="96">
        <v>0</v>
      </c>
      <c r="BB24" s="96">
        <v>-366000</v>
      </c>
      <c r="BC24" s="104">
        <v>673000</v>
      </c>
      <c r="BD24" s="104">
        <v>70748000</v>
      </c>
      <c r="BE24" s="96">
        <v>47025000</v>
      </c>
      <c r="BF24" s="96">
        <v>0</v>
      </c>
      <c r="BG24" s="96">
        <v>3406000</v>
      </c>
      <c r="BH24" s="96">
        <v>27000</v>
      </c>
      <c r="BI24" s="96">
        <v>193000</v>
      </c>
      <c r="BJ24" s="96">
        <v>27162000</v>
      </c>
      <c r="BK24" s="96">
        <v>0</v>
      </c>
      <c r="BL24" s="104">
        <v>77813000</v>
      </c>
      <c r="BM24" s="104">
        <v>-7065000</v>
      </c>
      <c r="BN24" s="96">
        <v>-1897000</v>
      </c>
      <c r="BO24" s="96">
        <v>0</v>
      </c>
      <c r="BP24" s="96">
        <v>-8962000</v>
      </c>
      <c r="BQ24" s="96">
        <v>0</v>
      </c>
      <c r="BR24" s="96">
        <v>0</v>
      </c>
      <c r="BS24" s="104">
        <v>-8962000</v>
      </c>
      <c r="BT24" s="105">
        <v>-0.109</v>
      </c>
      <c r="BU24" s="105">
        <v>0.01</v>
      </c>
      <c r="BV24" s="105">
        <v>-0.1</v>
      </c>
      <c r="BW24" s="106">
        <v>0</v>
      </c>
      <c r="BX24" s="107">
        <v>0</v>
      </c>
      <c r="BY24" s="107">
        <v>0</v>
      </c>
      <c r="BZ24" s="108">
        <v>-134.5</v>
      </c>
      <c r="CA24" s="109">
        <v>0</v>
      </c>
      <c r="CB24" s="109">
        <v>0</v>
      </c>
      <c r="CC24" s="110">
        <v>0</v>
      </c>
      <c r="CD24" s="111">
        <v>0</v>
      </c>
      <c r="CE24" s="109">
        <v>0</v>
      </c>
      <c r="CF24" s="104">
        <v>-15935000</v>
      </c>
      <c r="CG24" s="105">
        <v>-0.155</v>
      </c>
      <c r="CH24" s="105">
        <v>0</v>
      </c>
      <c r="CI24" s="105">
        <v>-0.155</v>
      </c>
    </row>
    <row r="25" spans="1:87" s="222" customFormat="1" ht="22.8" x14ac:dyDescent="0.3">
      <c r="A25" s="57">
        <v>89</v>
      </c>
      <c r="B25" s="57" t="s">
        <v>146</v>
      </c>
      <c r="C25" s="57" t="s">
        <v>77</v>
      </c>
      <c r="D25" s="57">
        <v>3791</v>
      </c>
      <c r="E25" s="57">
        <v>2025</v>
      </c>
      <c r="F25" s="57" t="s">
        <v>275</v>
      </c>
      <c r="G25" s="57">
        <v>2</v>
      </c>
      <c r="H25" s="57">
        <v>6</v>
      </c>
      <c r="I25" s="57" t="s">
        <v>709</v>
      </c>
      <c r="J25" s="100">
        <v>0</v>
      </c>
      <c r="K25" s="100">
        <v>0</v>
      </c>
      <c r="L25" s="100">
        <v>0</v>
      </c>
      <c r="M25" s="100">
        <v>0</v>
      </c>
      <c r="N25" s="100">
        <v>0</v>
      </c>
      <c r="O25" s="100">
        <v>0</v>
      </c>
      <c r="P25" s="100">
        <v>0</v>
      </c>
      <c r="Q25" s="104">
        <v>0</v>
      </c>
      <c r="R25" s="100">
        <v>0</v>
      </c>
      <c r="S25" s="100">
        <v>0</v>
      </c>
      <c r="T25" s="100">
        <v>0</v>
      </c>
      <c r="U25" s="100">
        <v>0</v>
      </c>
      <c r="V25" s="100">
        <v>0</v>
      </c>
      <c r="W25" s="100">
        <v>0</v>
      </c>
      <c r="X25" s="104">
        <v>0</v>
      </c>
      <c r="Y25" s="100">
        <v>0</v>
      </c>
      <c r="Z25" s="104">
        <v>0</v>
      </c>
      <c r="AA25" s="104">
        <v>0</v>
      </c>
      <c r="AB25" s="100">
        <v>0</v>
      </c>
      <c r="AC25" s="100">
        <v>0</v>
      </c>
      <c r="AD25" s="100">
        <v>0</v>
      </c>
      <c r="AE25" s="100">
        <v>0</v>
      </c>
      <c r="AF25" s="104">
        <v>0</v>
      </c>
      <c r="AG25" s="100">
        <v>0</v>
      </c>
      <c r="AH25" s="100">
        <v>0</v>
      </c>
      <c r="AI25" s="100">
        <v>0</v>
      </c>
      <c r="AJ25" s="104">
        <v>0</v>
      </c>
      <c r="AK25" s="104">
        <v>0</v>
      </c>
      <c r="AL25" s="100">
        <v>0</v>
      </c>
      <c r="AM25" s="100">
        <v>0</v>
      </c>
      <c r="AN25" s="100">
        <v>0</v>
      </c>
      <c r="AO25" s="104">
        <v>0</v>
      </c>
      <c r="AP25" s="104">
        <v>0</v>
      </c>
      <c r="AQ25" s="100">
        <v>167542000</v>
      </c>
      <c r="AR25" s="100">
        <v>0</v>
      </c>
      <c r="AS25" s="100">
        <v>40857000</v>
      </c>
      <c r="AT25" s="100">
        <v>0</v>
      </c>
      <c r="AU25" s="100">
        <v>0</v>
      </c>
      <c r="AV25" s="100">
        <v>0</v>
      </c>
      <c r="AW25" s="104">
        <v>208399000</v>
      </c>
      <c r="AX25" s="100">
        <v>-137000</v>
      </c>
      <c r="AY25" s="100">
        <v>-2541000</v>
      </c>
      <c r="AZ25" s="100">
        <v>-30000</v>
      </c>
      <c r="BA25" s="100">
        <v>0</v>
      </c>
      <c r="BB25" s="100">
        <v>2803000</v>
      </c>
      <c r="BC25" s="104">
        <v>95000</v>
      </c>
      <c r="BD25" s="104">
        <v>208494000</v>
      </c>
      <c r="BE25" s="100">
        <v>68421000</v>
      </c>
      <c r="BF25" s="100">
        <v>0</v>
      </c>
      <c r="BG25" s="100">
        <v>11552000</v>
      </c>
      <c r="BH25" s="100">
        <v>2514000</v>
      </c>
      <c r="BI25" s="100">
        <v>783000</v>
      </c>
      <c r="BJ25" s="100">
        <v>120986000</v>
      </c>
      <c r="BK25" s="100">
        <v>0</v>
      </c>
      <c r="BL25" s="104">
        <v>204256000</v>
      </c>
      <c r="BM25" s="104">
        <v>4238000</v>
      </c>
      <c r="BN25" s="100">
        <v>1840000</v>
      </c>
      <c r="BO25" s="100">
        <v>4386000</v>
      </c>
      <c r="BP25" s="100">
        <v>10464000</v>
      </c>
      <c r="BQ25" s="100">
        <v>0</v>
      </c>
      <c r="BR25" s="100">
        <v>0</v>
      </c>
      <c r="BS25" s="104">
        <v>10464000</v>
      </c>
      <c r="BT25" s="105">
        <v>0.02</v>
      </c>
      <c r="BU25" s="105">
        <v>0</v>
      </c>
      <c r="BV25" s="105">
        <v>0.02</v>
      </c>
      <c r="BW25" s="106">
        <v>0</v>
      </c>
      <c r="BX25" s="107">
        <v>0</v>
      </c>
      <c r="BY25" s="107">
        <v>0</v>
      </c>
      <c r="BZ25" s="108">
        <v>7.3</v>
      </c>
      <c r="CA25" s="109">
        <v>0</v>
      </c>
      <c r="CB25" s="109">
        <v>0</v>
      </c>
      <c r="CC25" s="110">
        <v>0</v>
      </c>
      <c r="CD25" s="111">
        <v>0</v>
      </c>
      <c r="CE25" s="109">
        <v>0</v>
      </c>
      <c r="CF25" s="104">
        <v>16484000</v>
      </c>
      <c r="CG25" s="105">
        <v>0.05</v>
      </c>
      <c r="CH25" s="105">
        <v>-2E-3</v>
      </c>
      <c r="CI25" s="105">
        <v>4.9000000000000002E-2</v>
      </c>
    </row>
    <row r="26" spans="1:87" s="222" customFormat="1" ht="22.8" x14ac:dyDescent="0.3">
      <c r="A26" s="57">
        <v>91</v>
      </c>
      <c r="B26" s="57" t="s">
        <v>147</v>
      </c>
      <c r="C26" s="57" t="s">
        <v>77</v>
      </c>
      <c r="D26" s="57">
        <v>3791</v>
      </c>
      <c r="E26" s="57">
        <v>2025</v>
      </c>
      <c r="F26" s="57" t="s">
        <v>275</v>
      </c>
      <c r="G26" s="57">
        <v>2</v>
      </c>
      <c r="H26" s="57">
        <v>6</v>
      </c>
      <c r="I26" s="57" t="s">
        <v>709</v>
      </c>
      <c r="J26" s="100">
        <v>0</v>
      </c>
      <c r="K26" s="100">
        <v>0</v>
      </c>
      <c r="L26" s="100">
        <v>0</v>
      </c>
      <c r="M26" s="100">
        <v>0</v>
      </c>
      <c r="N26" s="100">
        <v>0</v>
      </c>
      <c r="O26" s="100">
        <v>0</v>
      </c>
      <c r="P26" s="100">
        <v>0</v>
      </c>
      <c r="Q26" s="104">
        <v>0</v>
      </c>
      <c r="R26" s="100">
        <v>0</v>
      </c>
      <c r="S26" s="100">
        <v>0</v>
      </c>
      <c r="T26" s="100">
        <v>0</v>
      </c>
      <c r="U26" s="100">
        <v>0</v>
      </c>
      <c r="V26" s="100">
        <v>0</v>
      </c>
      <c r="W26" s="100">
        <v>0</v>
      </c>
      <c r="X26" s="104">
        <v>0</v>
      </c>
      <c r="Y26" s="100">
        <v>0</v>
      </c>
      <c r="Z26" s="104">
        <v>0</v>
      </c>
      <c r="AA26" s="104">
        <v>0</v>
      </c>
      <c r="AB26" s="100">
        <v>0</v>
      </c>
      <c r="AC26" s="100">
        <v>0</v>
      </c>
      <c r="AD26" s="100">
        <v>0</v>
      </c>
      <c r="AE26" s="100">
        <v>0</v>
      </c>
      <c r="AF26" s="104">
        <v>0</v>
      </c>
      <c r="AG26" s="100">
        <v>0</v>
      </c>
      <c r="AH26" s="100">
        <v>0</v>
      </c>
      <c r="AI26" s="100">
        <v>0</v>
      </c>
      <c r="AJ26" s="104">
        <v>0</v>
      </c>
      <c r="AK26" s="104">
        <v>0</v>
      </c>
      <c r="AL26" s="100">
        <v>0</v>
      </c>
      <c r="AM26" s="100">
        <v>0</v>
      </c>
      <c r="AN26" s="100">
        <v>0</v>
      </c>
      <c r="AO26" s="104">
        <v>0</v>
      </c>
      <c r="AP26" s="104">
        <v>0</v>
      </c>
      <c r="AQ26" s="100">
        <v>2142489000</v>
      </c>
      <c r="AR26" s="100">
        <v>0</v>
      </c>
      <c r="AS26" s="100">
        <v>1376148000</v>
      </c>
      <c r="AT26" s="100">
        <v>0</v>
      </c>
      <c r="AU26" s="100">
        <v>0</v>
      </c>
      <c r="AV26" s="100">
        <v>0</v>
      </c>
      <c r="AW26" s="104">
        <v>3518637000</v>
      </c>
      <c r="AX26" s="100">
        <v>2402000</v>
      </c>
      <c r="AY26" s="100">
        <v>0</v>
      </c>
      <c r="AZ26" s="100">
        <v>-3451000</v>
      </c>
      <c r="BA26" s="100">
        <v>0</v>
      </c>
      <c r="BB26" s="100">
        <v>105808000</v>
      </c>
      <c r="BC26" s="104">
        <v>104759000</v>
      </c>
      <c r="BD26" s="104">
        <v>3623396000</v>
      </c>
      <c r="BE26" s="100">
        <v>1118931000</v>
      </c>
      <c r="BF26" s="100">
        <v>0</v>
      </c>
      <c r="BG26" s="100">
        <v>133410000</v>
      </c>
      <c r="BH26" s="100">
        <v>8780000</v>
      </c>
      <c r="BI26" s="100">
        <v>12874000</v>
      </c>
      <c r="BJ26" s="100">
        <v>2095451000</v>
      </c>
      <c r="BK26" s="100">
        <v>0</v>
      </c>
      <c r="BL26" s="104">
        <v>3369446000</v>
      </c>
      <c r="BM26" s="104">
        <v>253950000</v>
      </c>
      <c r="BN26" s="100">
        <v>-467112000</v>
      </c>
      <c r="BO26" s="100">
        <v>3160000</v>
      </c>
      <c r="BP26" s="100">
        <v>-210002000</v>
      </c>
      <c r="BQ26" s="100">
        <v>0</v>
      </c>
      <c r="BR26" s="100">
        <v>0</v>
      </c>
      <c r="BS26" s="104">
        <v>-210002000</v>
      </c>
      <c r="BT26" s="105">
        <v>4.1000000000000002E-2</v>
      </c>
      <c r="BU26" s="105">
        <v>2.9000000000000001E-2</v>
      </c>
      <c r="BV26" s="105">
        <v>7.0000000000000007E-2</v>
      </c>
      <c r="BW26" s="106">
        <v>0</v>
      </c>
      <c r="BX26" s="107">
        <v>0</v>
      </c>
      <c r="BY26" s="107">
        <v>0</v>
      </c>
      <c r="BZ26" s="108">
        <v>45.1</v>
      </c>
      <c r="CA26" s="109">
        <v>0</v>
      </c>
      <c r="CB26" s="109">
        <v>0</v>
      </c>
      <c r="CC26" s="110">
        <v>0</v>
      </c>
      <c r="CD26" s="111">
        <v>0</v>
      </c>
      <c r="CE26" s="109">
        <v>0</v>
      </c>
      <c r="CF26" s="104">
        <v>-770000</v>
      </c>
      <c r="CG26" s="105">
        <v>-3.1E-2</v>
      </c>
      <c r="CH26" s="105">
        <v>2.1999999999999999E-2</v>
      </c>
      <c r="CI26" s="105">
        <v>-8.9999999999999993E-3</v>
      </c>
    </row>
    <row r="27" spans="1:87" s="222" customFormat="1" ht="22.8" x14ac:dyDescent="0.3">
      <c r="A27" s="57">
        <v>97</v>
      </c>
      <c r="B27" s="57" t="s">
        <v>159</v>
      </c>
      <c r="C27" s="57" t="s">
        <v>77</v>
      </c>
      <c r="D27" s="57">
        <v>6755</v>
      </c>
      <c r="E27" s="57">
        <v>2025</v>
      </c>
      <c r="F27" s="57" t="s">
        <v>275</v>
      </c>
      <c r="G27" s="57">
        <v>2</v>
      </c>
      <c r="H27" s="57">
        <v>6</v>
      </c>
      <c r="I27" s="57" t="s">
        <v>709</v>
      </c>
      <c r="J27" s="100">
        <v>7043000</v>
      </c>
      <c r="K27" s="100">
        <v>14779000</v>
      </c>
      <c r="L27" s="100">
        <v>-452000</v>
      </c>
      <c r="M27" s="100">
        <v>31089000</v>
      </c>
      <c r="N27" s="100">
        <v>0</v>
      </c>
      <c r="O27" s="100">
        <v>0</v>
      </c>
      <c r="P27" s="100">
        <v>8052000</v>
      </c>
      <c r="Q27" s="104">
        <v>60511000</v>
      </c>
      <c r="R27" s="100">
        <v>18808000</v>
      </c>
      <c r="S27" s="100">
        <v>354000</v>
      </c>
      <c r="T27" s="100">
        <v>0</v>
      </c>
      <c r="U27" s="100">
        <v>0</v>
      </c>
      <c r="V27" s="100">
        <v>231347000</v>
      </c>
      <c r="W27" s="100">
        <v>108200000</v>
      </c>
      <c r="X27" s="104">
        <v>123147000</v>
      </c>
      <c r="Y27" s="100">
        <v>15127000</v>
      </c>
      <c r="Z27" s="104">
        <v>157436000</v>
      </c>
      <c r="AA27" s="104">
        <v>217947000</v>
      </c>
      <c r="AB27" s="100">
        <v>2984000</v>
      </c>
      <c r="AC27" s="100">
        <v>6634000</v>
      </c>
      <c r="AD27" s="100">
        <v>0</v>
      </c>
      <c r="AE27" s="100">
        <v>39228000</v>
      </c>
      <c r="AF27" s="104">
        <v>48846000</v>
      </c>
      <c r="AG27" s="100">
        <v>82193000</v>
      </c>
      <c r="AH27" s="100">
        <v>0</v>
      </c>
      <c r="AI27" s="100">
        <v>15678000</v>
      </c>
      <c r="AJ27" s="104">
        <v>97871000</v>
      </c>
      <c r="AK27" s="104">
        <v>146717000</v>
      </c>
      <c r="AL27" s="100">
        <v>65552000</v>
      </c>
      <c r="AM27" s="100">
        <v>2389000</v>
      </c>
      <c r="AN27" s="100">
        <v>3289000</v>
      </c>
      <c r="AO27" s="104">
        <v>71230000</v>
      </c>
      <c r="AP27" s="104">
        <v>217947000</v>
      </c>
      <c r="AQ27" s="100">
        <v>141292000</v>
      </c>
      <c r="AR27" s="100">
        <v>0</v>
      </c>
      <c r="AS27" s="100">
        <v>3710000</v>
      </c>
      <c r="AT27" s="100">
        <v>0</v>
      </c>
      <c r="AU27" s="100">
        <v>0</v>
      </c>
      <c r="AV27" s="100">
        <v>0</v>
      </c>
      <c r="AW27" s="104">
        <v>145002000</v>
      </c>
      <c r="AX27" s="100">
        <v>280000</v>
      </c>
      <c r="AY27" s="100">
        <v>557000</v>
      </c>
      <c r="AZ27" s="100"/>
      <c r="BA27" s="100">
        <v>1821000</v>
      </c>
      <c r="BB27" s="100">
        <v>0</v>
      </c>
      <c r="BC27" s="104">
        <v>2049000</v>
      </c>
      <c r="BD27" s="104">
        <v>147051000</v>
      </c>
      <c r="BE27" s="100">
        <v>81172000</v>
      </c>
      <c r="BF27" s="100">
        <v>0</v>
      </c>
      <c r="BG27" s="100">
        <v>5966000</v>
      </c>
      <c r="BH27" s="100">
        <v>2261000</v>
      </c>
      <c r="BI27" s="100">
        <v>0</v>
      </c>
      <c r="BJ27" s="100">
        <v>57513000</v>
      </c>
      <c r="BK27" s="100">
        <v>13000</v>
      </c>
      <c r="BL27" s="104">
        <v>146925000</v>
      </c>
      <c r="BM27" s="104">
        <v>126000</v>
      </c>
      <c r="BN27" s="100">
        <v>0</v>
      </c>
      <c r="BO27" s="100">
        <v>0</v>
      </c>
      <c r="BP27" s="100">
        <v>126000</v>
      </c>
      <c r="BQ27" s="100">
        <v>0</v>
      </c>
      <c r="BR27" s="100">
        <v>0</v>
      </c>
      <c r="BS27" s="104">
        <v>126000</v>
      </c>
      <c r="BT27" s="109">
        <v>-1.2999999999999999E-2</v>
      </c>
      <c r="BU27" s="109">
        <v>1.4E-2</v>
      </c>
      <c r="BV27" s="109">
        <v>1E-3</v>
      </c>
      <c r="BW27" s="106">
        <v>1.2</v>
      </c>
      <c r="BX27" s="107">
        <v>40</v>
      </c>
      <c r="BY27" s="107">
        <v>55</v>
      </c>
      <c r="BZ27" s="108">
        <v>1.7</v>
      </c>
      <c r="CA27" s="109">
        <v>5.0999999999999997E-2</v>
      </c>
      <c r="CB27" s="109">
        <v>0.32700000000000001</v>
      </c>
      <c r="CC27" s="110">
        <v>18</v>
      </c>
      <c r="CD27" s="110"/>
      <c r="CE27" s="110"/>
      <c r="CF27" s="104">
        <v>3849000</v>
      </c>
      <c r="CG27" s="105">
        <v>3.3000000000000002E-2</v>
      </c>
      <c r="CH27" s="105">
        <v>-7.0000000000000001E-3</v>
      </c>
      <c r="CI27" s="105">
        <v>2.5999999999999999E-2</v>
      </c>
    </row>
    <row r="28" spans="1:87" s="222" customFormat="1" ht="22.8" x14ac:dyDescent="0.3">
      <c r="A28" s="14">
        <v>98</v>
      </c>
      <c r="B28" s="14" t="s">
        <v>92</v>
      </c>
      <c r="C28" s="14" t="s">
        <v>77</v>
      </c>
      <c r="D28" s="14">
        <v>16665</v>
      </c>
      <c r="E28" s="14">
        <v>2025</v>
      </c>
      <c r="F28" s="14" t="s">
        <v>275</v>
      </c>
      <c r="G28" s="14">
        <v>2</v>
      </c>
      <c r="H28" s="14">
        <v>6</v>
      </c>
      <c r="I28" s="14" t="s">
        <v>709</v>
      </c>
      <c r="J28" s="96">
        <v>10791000</v>
      </c>
      <c r="K28" s="96">
        <v>39858000</v>
      </c>
      <c r="L28" s="96">
        <v>0</v>
      </c>
      <c r="M28" s="96">
        <v>19320000</v>
      </c>
      <c r="N28" s="96">
        <v>0</v>
      </c>
      <c r="O28" s="96">
        <v>0</v>
      </c>
      <c r="P28" s="96">
        <v>5757000</v>
      </c>
      <c r="Q28" s="104">
        <v>75726000</v>
      </c>
      <c r="R28" s="96">
        <v>11880000</v>
      </c>
      <c r="S28" s="96">
        <v>1285000</v>
      </c>
      <c r="T28" s="96">
        <v>0</v>
      </c>
      <c r="U28" s="96">
        <v>0</v>
      </c>
      <c r="V28" s="96">
        <v>179912000</v>
      </c>
      <c r="W28" s="96">
        <v>88938000</v>
      </c>
      <c r="X28" s="104">
        <v>90974000</v>
      </c>
      <c r="Y28" s="96">
        <v>7708000</v>
      </c>
      <c r="Z28" s="104">
        <v>111847000</v>
      </c>
      <c r="AA28" s="104">
        <v>187573000</v>
      </c>
      <c r="AB28" s="96">
        <v>1926000</v>
      </c>
      <c r="AC28" s="96">
        <v>707000</v>
      </c>
      <c r="AD28" s="96">
        <v>43621000</v>
      </c>
      <c r="AE28" s="96">
        <v>12972000</v>
      </c>
      <c r="AF28" s="104">
        <v>59226000</v>
      </c>
      <c r="AG28" s="96">
        <v>12283000</v>
      </c>
      <c r="AH28" s="96">
        <v>0</v>
      </c>
      <c r="AI28" s="96">
        <v>5667000</v>
      </c>
      <c r="AJ28" s="104">
        <v>17950000</v>
      </c>
      <c r="AK28" s="104">
        <v>77176000</v>
      </c>
      <c r="AL28" s="96">
        <v>97232000</v>
      </c>
      <c r="AM28" s="96">
        <v>10213000</v>
      </c>
      <c r="AN28" s="96">
        <v>2952000</v>
      </c>
      <c r="AO28" s="104">
        <v>110397000</v>
      </c>
      <c r="AP28" s="104">
        <v>187573000</v>
      </c>
      <c r="AQ28" s="96">
        <v>79773000</v>
      </c>
      <c r="AR28" s="96">
        <v>0</v>
      </c>
      <c r="AS28" s="96">
        <v>6382000</v>
      </c>
      <c r="AT28" s="96">
        <v>0</v>
      </c>
      <c r="AU28" s="96">
        <v>0</v>
      </c>
      <c r="AV28" s="96">
        <v>0</v>
      </c>
      <c r="AW28" s="104">
        <v>86155000</v>
      </c>
      <c r="AX28" s="96">
        <v>1036000</v>
      </c>
      <c r="AY28" s="96">
        <v>0</v>
      </c>
      <c r="AZ28" s="96">
        <v>794000</v>
      </c>
      <c r="BA28" s="96">
        <v>91000</v>
      </c>
      <c r="BB28" s="96">
        <v>0</v>
      </c>
      <c r="BC28" s="104">
        <v>1921000</v>
      </c>
      <c r="BD28" s="104">
        <v>88076000</v>
      </c>
      <c r="BE28" s="96">
        <v>40751000</v>
      </c>
      <c r="BF28" s="96">
        <v>0</v>
      </c>
      <c r="BG28" s="96">
        <v>4994000</v>
      </c>
      <c r="BH28" s="96">
        <v>253000</v>
      </c>
      <c r="BI28" s="96">
        <v>1742000</v>
      </c>
      <c r="BJ28" s="96">
        <v>41106000</v>
      </c>
      <c r="BK28" s="96">
        <v>0</v>
      </c>
      <c r="BL28" s="104">
        <v>88846000</v>
      </c>
      <c r="BM28" s="104">
        <v>-770000</v>
      </c>
      <c r="BN28" s="96">
        <v>335000</v>
      </c>
      <c r="BO28" s="96">
        <v>0</v>
      </c>
      <c r="BP28" s="96">
        <v>-435000</v>
      </c>
      <c r="BQ28" s="96">
        <v>0</v>
      </c>
      <c r="BR28" s="96">
        <v>0</v>
      </c>
      <c r="BS28" s="104">
        <v>-435000</v>
      </c>
      <c r="BT28" s="105">
        <v>-3.1E-2</v>
      </c>
      <c r="BU28" s="105">
        <v>2.1999999999999999E-2</v>
      </c>
      <c r="BV28" s="105">
        <v>-8.9999999999999993E-3</v>
      </c>
      <c r="BW28" s="106">
        <v>1.3</v>
      </c>
      <c r="BX28" s="107">
        <v>44</v>
      </c>
      <c r="BY28" s="107">
        <v>127</v>
      </c>
      <c r="BZ28" s="108">
        <v>1.7</v>
      </c>
      <c r="CA28" s="109">
        <v>4.8000000000000001E-2</v>
      </c>
      <c r="CB28" s="109">
        <v>0.58899999999999997</v>
      </c>
      <c r="CC28" s="110">
        <v>18</v>
      </c>
      <c r="CD28" s="111">
        <v>110</v>
      </c>
      <c r="CE28" s="109">
        <v>0.112</v>
      </c>
      <c r="CF28" s="104">
        <v>158065000</v>
      </c>
      <c r="CG28" s="105">
        <v>3.9E-2</v>
      </c>
      <c r="CH28" s="105">
        <v>2.7E-2</v>
      </c>
      <c r="CI28" s="105">
        <v>6.7000000000000004E-2</v>
      </c>
    </row>
    <row r="29" spans="1:87" s="222" customFormat="1" ht="22.8" x14ac:dyDescent="0.3">
      <c r="A29" s="14">
        <v>99</v>
      </c>
      <c r="B29" s="14" t="s">
        <v>173</v>
      </c>
      <c r="C29" s="14" t="s">
        <v>77</v>
      </c>
      <c r="D29" s="14">
        <v>22350</v>
      </c>
      <c r="E29" s="14">
        <v>2025</v>
      </c>
      <c r="F29" s="14" t="s">
        <v>275</v>
      </c>
      <c r="G29" s="14">
        <v>2</v>
      </c>
      <c r="H29" s="14">
        <v>6</v>
      </c>
      <c r="I29" s="14" t="s">
        <v>709</v>
      </c>
      <c r="J29" s="96">
        <v>404000</v>
      </c>
      <c r="K29" s="96">
        <v>0</v>
      </c>
      <c r="L29" s="96">
        <v>0</v>
      </c>
      <c r="M29" s="96">
        <v>17956000</v>
      </c>
      <c r="N29" s="96">
        <v>0</v>
      </c>
      <c r="O29" s="96">
        <v>0</v>
      </c>
      <c r="P29" s="96">
        <v>91116000</v>
      </c>
      <c r="Q29" s="104">
        <v>109476000</v>
      </c>
      <c r="R29" s="96">
        <v>0</v>
      </c>
      <c r="S29" s="96">
        <v>0</v>
      </c>
      <c r="T29" s="96">
        <v>0</v>
      </c>
      <c r="U29" s="96">
        <v>0</v>
      </c>
      <c r="V29" s="96">
        <v>54333000</v>
      </c>
      <c r="W29" s="96">
        <v>1833000</v>
      </c>
      <c r="X29" s="104">
        <v>52500000</v>
      </c>
      <c r="Y29" s="96">
        <v>0</v>
      </c>
      <c r="Z29" s="104">
        <v>52500000</v>
      </c>
      <c r="AA29" s="104">
        <v>161976000</v>
      </c>
      <c r="AB29" s="96">
        <v>0</v>
      </c>
      <c r="AC29" s="96">
        <v>-691000</v>
      </c>
      <c r="AD29" s="96">
        <v>0</v>
      </c>
      <c r="AE29" s="96">
        <v>137545000</v>
      </c>
      <c r="AF29" s="104">
        <v>136854000</v>
      </c>
      <c r="AG29" s="96">
        <v>30000000</v>
      </c>
      <c r="AH29" s="96">
        <v>0</v>
      </c>
      <c r="AI29" s="96">
        <v>0</v>
      </c>
      <c r="AJ29" s="104">
        <v>30000000</v>
      </c>
      <c r="AK29" s="104">
        <v>166854000</v>
      </c>
      <c r="AL29" s="96">
        <v>-4878000</v>
      </c>
      <c r="AM29" s="96">
        <v>0</v>
      </c>
      <c r="AN29" s="96">
        <v>0</v>
      </c>
      <c r="AO29" s="104">
        <v>-4878000</v>
      </c>
      <c r="AP29" s="104">
        <v>161976000</v>
      </c>
      <c r="AQ29" s="96">
        <v>79804000</v>
      </c>
      <c r="AR29" s="96">
        <v>0</v>
      </c>
      <c r="AS29" s="96">
        <v>8082000</v>
      </c>
      <c r="AT29" s="96">
        <v>0</v>
      </c>
      <c r="AU29" s="96">
        <v>0</v>
      </c>
      <c r="AV29" s="96">
        <v>0</v>
      </c>
      <c r="AW29" s="104">
        <v>87886000</v>
      </c>
      <c r="AX29" s="96">
        <v>0</v>
      </c>
      <c r="AY29" s="96">
        <v>0</v>
      </c>
      <c r="AZ29" s="96">
        <v>0</v>
      </c>
      <c r="BA29" s="96">
        <v>-478000</v>
      </c>
      <c r="BB29" s="96">
        <v>0</v>
      </c>
      <c r="BC29" s="104">
        <v>-478000</v>
      </c>
      <c r="BD29" s="104">
        <v>87408000</v>
      </c>
      <c r="BE29" s="96">
        <v>47068000</v>
      </c>
      <c r="BF29" s="96">
        <v>0</v>
      </c>
      <c r="BG29" s="96">
        <v>1833000</v>
      </c>
      <c r="BH29" s="96">
        <v>2752000</v>
      </c>
      <c r="BI29" s="96">
        <v>4241000</v>
      </c>
      <c r="BJ29" s="96">
        <v>26764000</v>
      </c>
      <c r="BK29" s="96">
        <v>0</v>
      </c>
      <c r="BL29" s="104">
        <v>82658000</v>
      </c>
      <c r="BM29" s="104">
        <v>4750000</v>
      </c>
      <c r="BN29" s="96">
        <v>-9628000</v>
      </c>
      <c r="BO29" s="96">
        <v>0</v>
      </c>
      <c r="BP29" s="96">
        <v>-4878000</v>
      </c>
      <c r="BQ29" s="96">
        <v>0</v>
      </c>
      <c r="BR29" s="96">
        <v>0</v>
      </c>
      <c r="BS29" s="104">
        <v>-4878000</v>
      </c>
      <c r="BT29" s="105">
        <v>0.06</v>
      </c>
      <c r="BU29" s="105">
        <v>-5.0000000000000001E-3</v>
      </c>
      <c r="BV29" s="105">
        <v>5.3999999999999999E-2</v>
      </c>
      <c r="BW29" s="106">
        <v>0.8</v>
      </c>
      <c r="BX29" s="107">
        <v>41</v>
      </c>
      <c r="BY29" s="107">
        <v>311</v>
      </c>
      <c r="BZ29" s="108">
        <v>3.4</v>
      </c>
      <c r="CA29" s="109">
        <v>3.9E-2</v>
      </c>
      <c r="CB29" s="109">
        <v>-0.03</v>
      </c>
      <c r="CC29" s="110">
        <v>1</v>
      </c>
      <c r="CD29" s="111">
        <v>1</v>
      </c>
      <c r="CE29" s="109">
        <v>1.194</v>
      </c>
      <c r="CF29" s="104">
        <v>1495000</v>
      </c>
      <c r="CG29" s="105">
        <v>3.4000000000000002E-2</v>
      </c>
      <c r="CH29" s="105">
        <v>0</v>
      </c>
      <c r="CI29" s="105">
        <v>3.3000000000000002E-2</v>
      </c>
    </row>
    <row r="30" spans="1:87" s="222" customFormat="1" ht="22.8" x14ac:dyDescent="0.3">
      <c r="A30" s="57">
        <v>100</v>
      </c>
      <c r="B30" s="57" t="s">
        <v>97</v>
      </c>
      <c r="C30" s="57" t="s">
        <v>77</v>
      </c>
      <c r="D30" s="57">
        <v>16665</v>
      </c>
      <c r="E30" s="57">
        <v>2025</v>
      </c>
      <c r="F30" s="57" t="s">
        <v>275</v>
      </c>
      <c r="G30" s="57">
        <v>2</v>
      </c>
      <c r="H30" s="57">
        <v>6</v>
      </c>
      <c r="I30" s="57" t="s">
        <v>709</v>
      </c>
      <c r="J30" s="100">
        <v>229000</v>
      </c>
      <c r="K30" s="100">
        <v>118531000</v>
      </c>
      <c r="L30" s="100">
        <v>0</v>
      </c>
      <c r="M30" s="100">
        <v>39216000</v>
      </c>
      <c r="N30" s="100">
        <v>0</v>
      </c>
      <c r="O30" s="100">
        <v>0</v>
      </c>
      <c r="P30" s="100">
        <v>9326000</v>
      </c>
      <c r="Q30" s="104">
        <v>167302000</v>
      </c>
      <c r="R30" s="100">
        <v>21348000</v>
      </c>
      <c r="S30" s="100">
        <v>268000</v>
      </c>
      <c r="T30" s="100">
        <v>0</v>
      </c>
      <c r="U30" s="100">
        <v>0</v>
      </c>
      <c r="V30" s="100">
        <v>643310000</v>
      </c>
      <c r="W30" s="100">
        <v>493762000</v>
      </c>
      <c r="X30" s="104">
        <v>149548000</v>
      </c>
      <c r="Y30" s="100">
        <v>93450000</v>
      </c>
      <c r="Z30" s="104">
        <v>264614000</v>
      </c>
      <c r="AA30" s="104">
        <v>431916000</v>
      </c>
      <c r="AB30" s="100">
        <v>9065000</v>
      </c>
      <c r="AC30" s="100">
        <v>8641000</v>
      </c>
      <c r="AD30" s="100">
        <v>48716000</v>
      </c>
      <c r="AE30" s="100">
        <v>30595000</v>
      </c>
      <c r="AF30" s="104">
        <v>97017000</v>
      </c>
      <c r="AG30" s="100">
        <v>68154000</v>
      </c>
      <c r="AH30" s="100">
        <v>0</v>
      </c>
      <c r="AI30" s="100">
        <v>51362000</v>
      </c>
      <c r="AJ30" s="104">
        <v>119516000</v>
      </c>
      <c r="AK30" s="104">
        <v>216533000</v>
      </c>
      <c r="AL30" s="100">
        <v>193767000</v>
      </c>
      <c r="AM30" s="100">
        <v>9714000</v>
      </c>
      <c r="AN30" s="100">
        <v>11902000</v>
      </c>
      <c r="AO30" s="104">
        <v>215383000</v>
      </c>
      <c r="AP30" s="104">
        <v>431916000</v>
      </c>
      <c r="AQ30" s="100">
        <v>174929000</v>
      </c>
      <c r="AR30" s="100">
        <v>0</v>
      </c>
      <c r="AS30" s="100">
        <v>13577000</v>
      </c>
      <c r="AT30" s="100">
        <v>0</v>
      </c>
      <c r="AU30" s="100">
        <v>0</v>
      </c>
      <c r="AV30" s="100">
        <v>0</v>
      </c>
      <c r="AW30" s="104">
        <v>188506000</v>
      </c>
      <c r="AX30" s="100">
        <v>3938000</v>
      </c>
      <c r="AY30" s="100">
        <v>0</v>
      </c>
      <c r="AZ30" s="100">
        <v>2710000</v>
      </c>
      <c r="BA30" s="100">
        <v>0</v>
      </c>
      <c r="BB30" s="100">
        <v>0</v>
      </c>
      <c r="BC30" s="104">
        <v>6648000</v>
      </c>
      <c r="BD30" s="104">
        <v>195154000</v>
      </c>
      <c r="BE30" s="100">
        <v>79891000</v>
      </c>
      <c r="BF30" s="100">
        <v>0</v>
      </c>
      <c r="BG30" s="100">
        <v>12733000</v>
      </c>
      <c r="BH30" s="100">
        <v>1362000</v>
      </c>
      <c r="BI30" s="100">
        <v>2869000</v>
      </c>
      <c r="BJ30" s="100">
        <v>86870000</v>
      </c>
      <c r="BK30" s="100">
        <v>0</v>
      </c>
      <c r="BL30" s="104">
        <v>183725000</v>
      </c>
      <c r="BM30" s="104">
        <v>11429000</v>
      </c>
      <c r="BN30" s="100">
        <v>0</v>
      </c>
      <c r="BO30" s="100">
        <v>1146000</v>
      </c>
      <c r="BP30" s="100">
        <v>12575000</v>
      </c>
      <c r="BQ30" s="100">
        <v>0</v>
      </c>
      <c r="BR30" s="100">
        <v>0</v>
      </c>
      <c r="BS30" s="104">
        <v>12575000</v>
      </c>
      <c r="BT30" s="105">
        <v>2.4E-2</v>
      </c>
      <c r="BU30" s="105">
        <v>3.4000000000000002E-2</v>
      </c>
      <c r="BV30" s="105">
        <v>5.8999999999999997E-2</v>
      </c>
      <c r="BW30" s="106">
        <v>1.7</v>
      </c>
      <c r="BX30" s="107">
        <v>41</v>
      </c>
      <c r="BY30" s="107">
        <v>94</v>
      </c>
      <c r="BZ30" s="108">
        <v>2.2000000000000002</v>
      </c>
      <c r="CA30" s="109">
        <v>0.13</v>
      </c>
      <c r="CB30" s="109">
        <v>0.499</v>
      </c>
      <c r="CC30" s="110">
        <v>39</v>
      </c>
      <c r="CD30" s="111">
        <v>127</v>
      </c>
      <c r="CE30" s="109">
        <v>0.26</v>
      </c>
      <c r="CF30" s="104">
        <v>4284122</v>
      </c>
      <c r="CG30" s="105">
        <v>0.14899999999999999</v>
      </c>
      <c r="CH30" s="105">
        <v>0</v>
      </c>
      <c r="CI30" s="105">
        <v>0.14899999999999999</v>
      </c>
    </row>
    <row r="31" spans="1:87" s="222" customFormat="1" ht="22.8" x14ac:dyDescent="0.3">
      <c r="A31" s="57">
        <v>101</v>
      </c>
      <c r="B31" s="57" t="s">
        <v>148</v>
      </c>
      <c r="C31" s="57" t="s">
        <v>77</v>
      </c>
      <c r="D31" s="57">
        <v>3791</v>
      </c>
      <c r="E31" s="57">
        <v>2025</v>
      </c>
      <c r="F31" s="57" t="s">
        <v>275</v>
      </c>
      <c r="G31" s="57">
        <v>2</v>
      </c>
      <c r="H31" s="57">
        <v>6</v>
      </c>
      <c r="I31" s="57" t="s">
        <v>709</v>
      </c>
      <c r="J31" s="100">
        <v>0</v>
      </c>
      <c r="K31" s="100">
        <v>0</v>
      </c>
      <c r="L31" s="100">
        <v>0</v>
      </c>
      <c r="M31" s="100">
        <v>0</v>
      </c>
      <c r="N31" s="100">
        <v>0</v>
      </c>
      <c r="O31" s="100">
        <v>0</v>
      </c>
      <c r="P31" s="100">
        <v>0</v>
      </c>
      <c r="Q31" s="104">
        <v>0</v>
      </c>
      <c r="R31" s="100">
        <v>0</v>
      </c>
      <c r="S31" s="100">
        <v>0</v>
      </c>
      <c r="T31" s="100">
        <v>0</v>
      </c>
      <c r="U31" s="100">
        <v>0</v>
      </c>
      <c r="V31" s="100">
        <v>0</v>
      </c>
      <c r="W31" s="100">
        <v>0</v>
      </c>
      <c r="X31" s="104">
        <v>0</v>
      </c>
      <c r="Y31" s="100">
        <v>0</v>
      </c>
      <c r="Z31" s="104">
        <v>0</v>
      </c>
      <c r="AA31" s="104">
        <v>0</v>
      </c>
      <c r="AB31" s="100">
        <v>0</v>
      </c>
      <c r="AC31" s="100">
        <v>0</v>
      </c>
      <c r="AD31" s="100">
        <v>0</v>
      </c>
      <c r="AE31" s="100">
        <v>0</v>
      </c>
      <c r="AF31" s="104">
        <v>0</v>
      </c>
      <c r="AG31" s="100">
        <v>0</v>
      </c>
      <c r="AH31" s="100">
        <v>0</v>
      </c>
      <c r="AI31" s="100">
        <v>0</v>
      </c>
      <c r="AJ31" s="104">
        <v>0</v>
      </c>
      <c r="AK31" s="104">
        <v>0</v>
      </c>
      <c r="AL31" s="100">
        <v>0</v>
      </c>
      <c r="AM31" s="100">
        <v>0</v>
      </c>
      <c r="AN31" s="100">
        <v>0</v>
      </c>
      <c r="AO31" s="104">
        <v>0</v>
      </c>
      <c r="AP31" s="104">
        <v>0</v>
      </c>
      <c r="AQ31" s="100">
        <v>36613000</v>
      </c>
      <c r="AR31" s="100">
        <v>0</v>
      </c>
      <c r="AS31" s="100">
        <v>7000000</v>
      </c>
      <c r="AT31" s="100">
        <v>0</v>
      </c>
      <c r="AU31" s="100">
        <v>0</v>
      </c>
      <c r="AV31" s="100">
        <v>0</v>
      </c>
      <c r="AW31" s="104">
        <v>43613000</v>
      </c>
      <c r="AX31" s="100">
        <v>244000</v>
      </c>
      <c r="AY31" s="100">
        <v>-398000</v>
      </c>
      <c r="AZ31" s="100">
        <v>1000</v>
      </c>
      <c r="BA31" s="100">
        <v>0</v>
      </c>
      <c r="BB31" s="100">
        <v>4465000</v>
      </c>
      <c r="BC31" s="104">
        <v>4312000</v>
      </c>
      <c r="BD31" s="104">
        <v>47925000</v>
      </c>
      <c r="BE31" s="100">
        <v>24828000</v>
      </c>
      <c r="BF31" s="100">
        <v>0</v>
      </c>
      <c r="BG31" s="100">
        <v>3104000</v>
      </c>
      <c r="BH31" s="100">
        <v>50000</v>
      </c>
      <c r="BI31" s="100">
        <v>104000</v>
      </c>
      <c r="BJ31" s="100">
        <v>20592000</v>
      </c>
      <c r="BK31" s="100">
        <v>0</v>
      </c>
      <c r="BL31" s="104">
        <v>48678000</v>
      </c>
      <c r="BM31" s="104">
        <v>-753000</v>
      </c>
      <c r="BN31" s="100">
        <v>-3360000</v>
      </c>
      <c r="BO31" s="100">
        <v>0</v>
      </c>
      <c r="BP31" s="100">
        <v>-4113000</v>
      </c>
      <c r="BQ31" s="100">
        <v>0</v>
      </c>
      <c r="BR31" s="100">
        <v>0</v>
      </c>
      <c r="BS31" s="104">
        <v>-4113000</v>
      </c>
      <c r="BT31" s="105">
        <v>-0.106</v>
      </c>
      <c r="BU31" s="105">
        <v>0.09</v>
      </c>
      <c r="BV31" s="105">
        <v>-1.6E-2</v>
      </c>
      <c r="BW31" s="106">
        <v>0</v>
      </c>
      <c r="BX31" s="107">
        <v>0</v>
      </c>
      <c r="BY31" s="107">
        <v>0</v>
      </c>
      <c r="BZ31" s="108">
        <v>48</v>
      </c>
      <c r="CA31" s="109">
        <v>0</v>
      </c>
      <c r="CB31" s="109">
        <v>0</v>
      </c>
      <c r="CC31" s="110">
        <v>0</v>
      </c>
      <c r="CD31" s="111">
        <v>0</v>
      </c>
      <c r="CE31" s="109">
        <v>0</v>
      </c>
      <c r="CF31" s="104">
        <v>-55291609</v>
      </c>
      <c r="CG31" s="105">
        <v>-0.32800000000000001</v>
      </c>
      <c r="CH31" s="105">
        <v>1E-3</v>
      </c>
      <c r="CI31" s="105">
        <v>-0.32800000000000001</v>
      </c>
    </row>
    <row r="32" spans="1:87" s="222" customFormat="1" ht="22.8" x14ac:dyDescent="0.3">
      <c r="A32" s="14">
        <v>103</v>
      </c>
      <c r="B32" s="14" t="s">
        <v>98</v>
      </c>
      <c r="C32" s="14" t="s">
        <v>77</v>
      </c>
      <c r="D32" s="14">
        <v>16665</v>
      </c>
      <c r="E32" s="14">
        <v>2025</v>
      </c>
      <c r="F32" s="14" t="s">
        <v>275</v>
      </c>
      <c r="G32" s="14">
        <v>2</v>
      </c>
      <c r="H32" s="14">
        <v>6</v>
      </c>
      <c r="I32" s="14" t="s">
        <v>709</v>
      </c>
      <c r="J32" s="96">
        <v>-93000</v>
      </c>
      <c r="K32" s="96">
        <v>84277000</v>
      </c>
      <c r="L32" s="96">
        <v>0</v>
      </c>
      <c r="M32" s="96">
        <v>19279000</v>
      </c>
      <c r="N32" s="96">
        <v>17849000</v>
      </c>
      <c r="O32" s="96">
        <v>0</v>
      </c>
      <c r="P32" s="96">
        <v>8452000</v>
      </c>
      <c r="Q32" s="104">
        <v>129764000</v>
      </c>
      <c r="R32" s="96">
        <v>34894000</v>
      </c>
      <c r="S32" s="96">
        <v>1415000</v>
      </c>
      <c r="T32" s="96">
        <v>0</v>
      </c>
      <c r="U32" s="96">
        <v>0</v>
      </c>
      <c r="V32" s="96">
        <v>292564000</v>
      </c>
      <c r="W32" s="96">
        <v>215326000</v>
      </c>
      <c r="X32" s="104">
        <v>77238000</v>
      </c>
      <c r="Y32" s="96">
        <v>31200000</v>
      </c>
      <c r="Z32" s="104">
        <v>144747000</v>
      </c>
      <c r="AA32" s="104">
        <v>274511000</v>
      </c>
      <c r="AB32" s="96">
        <v>2175000</v>
      </c>
      <c r="AC32" s="96">
        <v>5657000</v>
      </c>
      <c r="AD32" s="96">
        <v>0</v>
      </c>
      <c r="AE32" s="96">
        <v>29095000</v>
      </c>
      <c r="AF32" s="104">
        <v>36927000</v>
      </c>
      <c r="AG32" s="96">
        <v>38568000</v>
      </c>
      <c r="AH32" s="96">
        <v>0</v>
      </c>
      <c r="AI32" s="96">
        <v>25584000</v>
      </c>
      <c r="AJ32" s="104">
        <v>64152000</v>
      </c>
      <c r="AK32" s="104">
        <v>101079000</v>
      </c>
      <c r="AL32" s="96">
        <v>137122000</v>
      </c>
      <c r="AM32" s="96">
        <v>15931000</v>
      </c>
      <c r="AN32" s="96">
        <v>20379000</v>
      </c>
      <c r="AO32" s="104">
        <v>173432000</v>
      </c>
      <c r="AP32" s="104">
        <v>274511000</v>
      </c>
      <c r="AQ32" s="96">
        <v>90188000</v>
      </c>
      <c r="AR32" s="96">
        <v>0</v>
      </c>
      <c r="AS32" s="96">
        <v>12934000</v>
      </c>
      <c r="AT32" s="96">
        <v>0</v>
      </c>
      <c r="AU32" s="96">
        <v>0</v>
      </c>
      <c r="AV32" s="96">
        <v>0</v>
      </c>
      <c r="AW32" s="104">
        <v>103122000</v>
      </c>
      <c r="AX32" s="96">
        <v>926000</v>
      </c>
      <c r="AY32" s="96">
        <v>0</v>
      </c>
      <c r="AZ32" s="96">
        <v>743000</v>
      </c>
      <c r="BA32" s="96">
        <v>246000</v>
      </c>
      <c r="BB32" s="96">
        <v>0</v>
      </c>
      <c r="BC32" s="104">
        <v>1915000</v>
      </c>
      <c r="BD32" s="104">
        <v>105037000</v>
      </c>
      <c r="BE32" s="96">
        <v>41609000</v>
      </c>
      <c r="BF32" s="96">
        <v>0</v>
      </c>
      <c r="BG32" s="96">
        <v>5306000</v>
      </c>
      <c r="BH32" s="96">
        <v>706000</v>
      </c>
      <c r="BI32" s="96">
        <v>2971000</v>
      </c>
      <c r="BJ32" s="96">
        <v>61768000</v>
      </c>
      <c r="BK32" s="96">
        <v>0</v>
      </c>
      <c r="BL32" s="104">
        <v>112360000</v>
      </c>
      <c r="BM32" s="104">
        <v>-7323000</v>
      </c>
      <c r="BN32" s="96">
        <v>0</v>
      </c>
      <c r="BO32" s="96">
        <v>0</v>
      </c>
      <c r="BP32" s="96">
        <v>-7323000</v>
      </c>
      <c r="BQ32" s="96">
        <v>0</v>
      </c>
      <c r="BR32" s="96">
        <v>0</v>
      </c>
      <c r="BS32" s="104">
        <v>-7323000</v>
      </c>
      <c r="BT32" s="105">
        <v>-8.7999999999999995E-2</v>
      </c>
      <c r="BU32" s="105">
        <v>1.7999999999999999E-2</v>
      </c>
      <c r="BV32" s="105">
        <v>-7.0000000000000007E-2</v>
      </c>
      <c r="BW32" s="106">
        <v>3.5</v>
      </c>
      <c r="BX32" s="107">
        <v>39</v>
      </c>
      <c r="BY32" s="107">
        <v>53</v>
      </c>
      <c r="BZ32" s="108">
        <v>-0.7</v>
      </c>
      <c r="CA32" s="109">
        <v>-3.6999999999999998E-2</v>
      </c>
      <c r="CB32" s="109">
        <v>0.63200000000000001</v>
      </c>
      <c r="CC32" s="110">
        <v>41</v>
      </c>
      <c r="CD32" s="111">
        <v>144</v>
      </c>
      <c r="CE32" s="109">
        <v>0.22</v>
      </c>
      <c r="CF32" s="104">
        <v>-3981000</v>
      </c>
      <c r="CG32" s="105">
        <v>-2.7E-2</v>
      </c>
      <c r="CH32" s="105">
        <v>-1E-3</v>
      </c>
      <c r="CI32" s="105">
        <v>-2.8000000000000001E-2</v>
      </c>
    </row>
    <row r="33" spans="1:87" s="222" customFormat="1" ht="22.8" x14ac:dyDescent="0.3">
      <c r="A33" s="14">
        <v>104</v>
      </c>
      <c r="B33" s="14" t="s">
        <v>193</v>
      </c>
      <c r="C33" s="14" t="s">
        <v>77</v>
      </c>
      <c r="D33" s="14">
        <v>12775</v>
      </c>
      <c r="E33" s="14">
        <v>2025</v>
      </c>
      <c r="F33" s="14" t="s">
        <v>275</v>
      </c>
      <c r="G33" s="14">
        <v>2</v>
      </c>
      <c r="H33" s="14">
        <v>6</v>
      </c>
      <c r="I33" s="14" t="s">
        <v>709</v>
      </c>
      <c r="J33" s="96">
        <v>13269000</v>
      </c>
      <c r="K33" s="96">
        <v>21500000</v>
      </c>
      <c r="L33" s="96">
        <v>8654000</v>
      </c>
      <c r="M33" s="96">
        <v>164597000</v>
      </c>
      <c r="N33" s="96">
        <v>131233000</v>
      </c>
      <c r="O33" s="96">
        <v>16180000</v>
      </c>
      <c r="P33" s="96">
        <v>67095000</v>
      </c>
      <c r="Q33" s="104">
        <v>422528000</v>
      </c>
      <c r="R33" s="96">
        <v>28449000</v>
      </c>
      <c r="S33" s="96">
        <v>0</v>
      </c>
      <c r="T33" s="96">
        <v>0</v>
      </c>
      <c r="U33" s="96">
        <v>0</v>
      </c>
      <c r="V33" s="96">
        <v>876408000</v>
      </c>
      <c r="W33" s="96">
        <v>545457000</v>
      </c>
      <c r="X33" s="104">
        <v>330951000</v>
      </c>
      <c r="Y33" s="96">
        <v>223388000</v>
      </c>
      <c r="Z33" s="104">
        <v>582788000</v>
      </c>
      <c r="AA33" s="104">
        <v>1005316000</v>
      </c>
      <c r="AB33" s="96">
        <v>18545000</v>
      </c>
      <c r="AC33" s="96">
        <v>3435000</v>
      </c>
      <c r="AD33" s="96">
        <v>67486000</v>
      </c>
      <c r="AE33" s="96">
        <v>119369000</v>
      </c>
      <c r="AF33" s="104">
        <v>208835000</v>
      </c>
      <c r="AG33" s="96">
        <v>811435000</v>
      </c>
      <c r="AH33" s="96">
        <v>0</v>
      </c>
      <c r="AI33" s="96">
        <v>71915000</v>
      </c>
      <c r="AJ33" s="104">
        <v>883350000</v>
      </c>
      <c r="AK33" s="104">
        <v>1092185000</v>
      </c>
      <c r="AL33" s="96">
        <v>-106216000</v>
      </c>
      <c r="AM33" s="96">
        <v>11516000</v>
      </c>
      <c r="AN33" s="96">
        <v>7831000</v>
      </c>
      <c r="AO33" s="104">
        <v>-86869000</v>
      </c>
      <c r="AP33" s="104">
        <v>1005316000</v>
      </c>
      <c r="AQ33" s="96">
        <v>548864000</v>
      </c>
      <c r="AR33" s="96">
        <v>0</v>
      </c>
      <c r="AS33" s="96">
        <v>153190000</v>
      </c>
      <c r="AT33" s="96">
        <v>0</v>
      </c>
      <c r="AU33" s="96">
        <v>0</v>
      </c>
      <c r="AV33" s="96">
        <v>1653000</v>
      </c>
      <c r="AW33" s="104">
        <v>703707000</v>
      </c>
      <c r="AX33" s="96">
        <v>3879000</v>
      </c>
      <c r="AY33" s="96">
        <v>-3310000</v>
      </c>
      <c r="AZ33" s="96">
        <v>-21500</v>
      </c>
      <c r="BA33" s="96">
        <v>-120500</v>
      </c>
      <c r="BB33" s="96">
        <v>0</v>
      </c>
      <c r="BC33" s="104">
        <v>427000</v>
      </c>
      <c r="BD33" s="104">
        <v>704134000</v>
      </c>
      <c r="BE33" s="96">
        <v>257270000</v>
      </c>
      <c r="BF33" s="96">
        <v>0</v>
      </c>
      <c r="BG33" s="96">
        <v>20529000</v>
      </c>
      <c r="BH33" s="96">
        <v>13242000</v>
      </c>
      <c r="BI33" s="96">
        <v>28314000</v>
      </c>
      <c r="BJ33" s="96">
        <v>369561000</v>
      </c>
      <c r="BK33" s="96">
        <v>0</v>
      </c>
      <c r="BL33" s="104">
        <v>688916000</v>
      </c>
      <c r="BM33" s="104">
        <v>15218000</v>
      </c>
      <c r="BN33" s="96">
        <v>116903000</v>
      </c>
      <c r="BO33" s="96">
        <v>0</v>
      </c>
      <c r="BP33" s="96">
        <v>132121000</v>
      </c>
      <c r="BQ33" s="96">
        <v>0</v>
      </c>
      <c r="BR33" s="96">
        <v>0</v>
      </c>
      <c r="BS33" s="104">
        <v>132121000</v>
      </c>
      <c r="BT33" s="105">
        <v>2.1000000000000001E-2</v>
      </c>
      <c r="BU33" s="105">
        <v>1E-3</v>
      </c>
      <c r="BV33" s="105">
        <v>2.1999999999999999E-2</v>
      </c>
      <c r="BW33" s="106">
        <v>2</v>
      </c>
      <c r="BX33" s="107">
        <v>55</v>
      </c>
      <c r="BY33" s="107">
        <v>56</v>
      </c>
      <c r="BZ33" s="108">
        <v>1.5</v>
      </c>
      <c r="CA33" s="109">
        <v>3.5000000000000003E-2</v>
      </c>
      <c r="CB33" s="109">
        <v>-8.5999999999999993E-2</v>
      </c>
      <c r="CC33" s="110">
        <v>27</v>
      </c>
      <c r="CD33" s="111">
        <v>9</v>
      </c>
      <c r="CE33" s="109">
        <v>1.151</v>
      </c>
      <c r="CF33" s="104">
        <v>2941000</v>
      </c>
      <c r="CG33" s="105">
        <v>0.03</v>
      </c>
      <c r="CH33" s="105">
        <v>4.0000000000000001E-3</v>
      </c>
      <c r="CI33" s="105">
        <v>3.4000000000000002E-2</v>
      </c>
    </row>
    <row r="34" spans="1:87" s="222" customFormat="1" ht="22.8" x14ac:dyDescent="0.3">
      <c r="A34" s="14">
        <v>105</v>
      </c>
      <c r="B34" s="14" t="s">
        <v>149</v>
      </c>
      <c r="C34" s="14" t="s">
        <v>77</v>
      </c>
      <c r="D34" s="14">
        <v>3791</v>
      </c>
      <c r="E34" s="14">
        <v>2025</v>
      </c>
      <c r="F34" s="14" t="s">
        <v>275</v>
      </c>
      <c r="G34" s="14">
        <v>2</v>
      </c>
      <c r="H34" s="14">
        <v>6</v>
      </c>
      <c r="I34" s="14" t="s">
        <v>709</v>
      </c>
      <c r="J34" s="96">
        <v>0</v>
      </c>
      <c r="K34" s="96">
        <v>0</v>
      </c>
      <c r="L34" s="96">
        <v>0</v>
      </c>
      <c r="M34" s="96">
        <v>0</v>
      </c>
      <c r="N34" s="96">
        <v>0</v>
      </c>
      <c r="O34" s="96">
        <v>0</v>
      </c>
      <c r="P34" s="96">
        <v>0</v>
      </c>
      <c r="Q34" s="104">
        <v>0</v>
      </c>
      <c r="R34" s="96">
        <v>0</v>
      </c>
      <c r="S34" s="96">
        <v>0</v>
      </c>
      <c r="T34" s="96">
        <v>0</v>
      </c>
      <c r="U34" s="96">
        <v>0</v>
      </c>
      <c r="V34" s="96">
        <v>0</v>
      </c>
      <c r="W34" s="96">
        <v>0</v>
      </c>
      <c r="X34" s="104">
        <v>0</v>
      </c>
      <c r="Y34" s="96">
        <v>0</v>
      </c>
      <c r="Z34" s="104">
        <v>0</v>
      </c>
      <c r="AA34" s="104">
        <v>0</v>
      </c>
      <c r="AB34" s="96">
        <v>0</v>
      </c>
      <c r="AC34" s="96">
        <v>0</v>
      </c>
      <c r="AD34" s="96">
        <v>0</v>
      </c>
      <c r="AE34" s="96">
        <v>0</v>
      </c>
      <c r="AF34" s="104">
        <v>0</v>
      </c>
      <c r="AG34" s="96">
        <v>0</v>
      </c>
      <c r="AH34" s="96">
        <v>0</v>
      </c>
      <c r="AI34" s="96">
        <v>0</v>
      </c>
      <c r="AJ34" s="104">
        <v>0</v>
      </c>
      <c r="AK34" s="104">
        <v>0</v>
      </c>
      <c r="AL34" s="96">
        <v>0</v>
      </c>
      <c r="AM34" s="96">
        <v>0</v>
      </c>
      <c r="AN34" s="96">
        <v>0</v>
      </c>
      <c r="AO34" s="104">
        <v>0</v>
      </c>
      <c r="AP34" s="104">
        <v>0</v>
      </c>
      <c r="AQ34" s="96">
        <v>368984000</v>
      </c>
      <c r="AR34" s="96">
        <v>0</v>
      </c>
      <c r="AS34" s="96">
        <v>18614000</v>
      </c>
      <c r="AT34" s="96">
        <v>0</v>
      </c>
      <c r="AU34" s="96">
        <v>0</v>
      </c>
      <c r="AV34" s="96">
        <v>0</v>
      </c>
      <c r="AW34" s="104">
        <v>387598000</v>
      </c>
      <c r="AX34" s="96">
        <v>3825000</v>
      </c>
      <c r="AY34" s="96">
        <v>-1728000</v>
      </c>
      <c r="AZ34" s="96">
        <v>-296000</v>
      </c>
      <c r="BA34" s="96">
        <v>0</v>
      </c>
      <c r="BB34" s="96">
        <v>-6093000</v>
      </c>
      <c r="BC34" s="104">
        <v>-4292000</v>
      </c>
      <c r="BD34" s="104">
        <v>383306000</v>
      </c>
      <c r="BE34" s="96">
        <v>194967000</v>
      </c>
      <c r="BF34" s="96">
        <v>0</v>
      </c>
      <c r="BG34" s="96">
        <v>18449000</v>
      </c>
      <c r="BH34" s="96">
        <v>3325000</v>
      </c>
      <c r="BI34" s="96">
        <v>2286000</v>
      </c>
      <c r="BJ34" s="96">
        <v>154871000</v>
      </c>
      <c r="BK34" s="96">
        <v>0</v>
      </c>
      <c r="BL34" s="104">
        <v>373898000</v>
      </c>
      <c r="BM34" s="104">
        <v>9408000</v>
      </c>
      <c r="BN34" s="96">
        <v>5095000</v>
      </c>
      <c r="BO34" s="96">
        <v>0</v>
      </c>
      <c r="BP34" s="96">
        <v>14503000</v>
      </c>
      <c r="BQ34" s="96">
        <v>0</v>
      </c>
      <c r="BR34" s="96">
        <v>0</v>
      </c>
      <c r="BS34" s="104">
        <v>14503000</v>
      </c>
      <c r="BT34" s="105">
        <v>3.5999999999999997E-2</v>
      </c>
      <c r="BU34" s="105">
        <v>-1.0999999999999999E-2</v>
      </c>
      <c r="BV34" s="105">
        <v>2.5000000000000001E-2</v>
      </c>
      <c r="BW34" s="106">
        <v>0</v>
      </c>
      <c r="BX34" s="107">
        <v>0</v>
      </c>
      <c r="BY34" s="107">
        <v>0</v>
      </c>
      <c r="BZ34" s="108">
        <v>9.4</v>
      </c>
      <c r="CA34" s="109">
        <v>0</v>
      </c>
      <c r="CB34" s="109">
        <v>0</v>
      </c>
      <c r="CC34" s="110">
        <v>0</v>
      </c>
      <c r="CD34" s="111">
        <v>0</v>
      </c>
      <c r="CE34" s="109">
        <v>0</v>
      </c>
      <c r="CF34" s="104">
        <v>-806031</v>
      </c>
      <c r="CG34" s="105">
        <v>-8.0000000000000002E-3</v>
      </c>
      <c r="CH34" s="105">
        <v>4.0000000000000001E-3</v>
      </c>
      <c r="CI34" s="105">
        <v>-4.0000000000000001E-3</v>
      </c>
    </row>
    <row r="35" spans="1:87" s="222" customFormat="1" ht="22.8" x14ac:dyDescent="0.3">
      <c r="A35" s="57">
        <v>106</v>
      </c>
      <c r="B35" s="57" t="s">
        <v>80</v>
      </c>
      <c r="C35" s="57" t="s">
        <v>77</v>
      </c>
      <c r="D35" s="57">
        <v>4066</v>
      </c>
      <c r="E35" s="57">
        <v>2025</v>
      </c>
      <c r="F35" s="57" t="s">
        <v>275</v>
      </c>
      <c r="G35" s="57">
        <v>2</v>
      </c>
      <c r="H35" s="57">
        <v>6</v>
      </c>
      <c r="I35" s="57" t="s">
        <v>709</v>
      </c>
      <c r="J35" s="100">
        <v>2976000</v>
      </c>
      <c r="K35" s="100">
        <v>10000</v>
      </c>
      <c r="L35" s="100">
        <v>0</v>
      </c>
      <c r="M35" s="100">
        <v>11352000</v>
      </c>
      <c r="N35" s="100">
        <v>52000</v>
      </c>
      <c r="O35" s="100">
        <v>1809000</v>
      </c>
      <c r="P35" s="100">
        <v>1658000</v>
      </c>
      <c r="Q35" s="104">
        <v>17857000</v>
      </c>
      <c r="R35" s="100">
        <v>1606000</v>
      </c>
      <c r="S35" s="100">
        <v>0</v>
      </c>
      <c r="T35" s="100">
        <v>1245000</v>
      </c>
      <c r="U35" s="100">
        <v>0</v>
      </c>
      <c r="V35" s="100">
        <v>103046000</v>
      </c>
      <c r="W35" s="100">
        <v>80053000</v>
      </c>
      <c r="X35" s="104">
        <v>22993000</v>
      </c>
      <c r="Y35" s="100">
        <v>1664000</v>
      </c>
      <c r="Z35" s="104">
        <v>27508000</v>
      </c>
      <c r="AA35" s="104">
        <v>45365000</v>
      </c>
      <c r="AB35" s="100">
        <v>0</v>
      </c>
      <c r="AC35" s="100">
        <v>4929000</v>
      </c>
      <c r="AD35" s="100">
        <v>2450000</v>
      </c>
      <c r="AE35" s="100">
        <v>6835000</v>
      </c>
      <c r="AF35" s="104">
        <v>14214000</v>
      </c>
      <c r="AG35" s="100">
        <v>1196000</v>
      </c>
      <c r="AH35" s="100">
        <v>0</v>
      </c>
      <c r="AI35" s="100">
        <v>2440000</v>
      </c>
      <c r="AJ35" s="104">
        <v>3636000</v>
      </c>
      <c r="AK35" s="104">
        <v>17850000</v>
      </c>
      <c r="AL35" s="100">
        <v>24937000</v>
      </c>
      <c r="AM35" s="100">
        <v>0</v>
      </c>
      <c r="AN35" s="100">
        <v>2578000</v>
      </c>
      <c r="AO35" s="104">
        <v>27515000</v>
      </c>
      <c r="AP35" s="104">
        <v>45365000</v>
      </c>
      <c r="AQ35" s="100">
        <v>43928000</v>
      </c>
      <c r="AR35" s="100">
        <v>0</v>
      </c>
      <c r="AS35" s="100">
        <v>858000</v>
      </c>
      <c r="AT35" s="100">
        <v>0</v>
      </c>
      <c r="AU35" s="100">
        <v>0</v>
      </c>
      <c r="AV35" s="100">
        <v>61000</v>
      </c>
      <c r="AW35" s="104">
        <v>44847000</v>
      </c>
      <c r="AX35" s="100">
        <v>0</v>
      </c>
      <c r="AY35" s="100">
        <v>0</v>
      </c>
      <c r="AZ35" s="100">
        <v>-17000</v>
      </c>
      <c r="BA35" s="100">
        <v>6000</v>
      </c>
      <c r="BB35" s="100">
        <v>0</v>
      </c>
      <c r="BC35" s="104">
        <v>-11000</v>
      </c>
      <c r="BD35" s="104">
        <v>44836000</v>
      </c>
      <c r="BE35" s="100">
        <v>20281000</v>
      </c>
      <c r="BF35" s="100">
        <v>0</v>
      </c>
      <c r="BG35" s="100">
        <v>1981000</v>
      </c>
      <c r="BH35" s="100">
        <v>27000</v>
      </c>
      <c r="BI35" s="100">
        <v>2671000</v>
      </c>
      <c r="BJ35" s="100">
        <v>18226000</v>
      </c>
      <c r="BK35" s="100">
        <v>155000</v>
      </c>
      <c r="BL35" s="104">
        <v>43341000</v>
      </c>
      <c r="BM35" s="104">
        <v>1495000</v>
      </c>
      <c r="BN35" s="100">
        <v>0</v>
      </c>
      <c r="BO35" s="100">
        <v>24000</v>
      </c>
      <c r="BP35" s="100">
        <v>1519000</v>
      </c>
      <c r="BQ35" s="100">
        <v>0</v>
      </c>
      <c r="BR35" s="100">
        <v>0</v>
      </c>
      <c r="BS35" s="104">
        <v>1519000</v>
      </c>
      <c r="BT35" s="105">
        <v>3.4000000000000002E-2</v>
      </c>
      <c r="BU35" s="105">
        <v>0</v>
      </c>
      <c r="BV35" s="105">
        <v>3.3000000000000002E-2</v>
      </c>
      <c r="BW35" s="106">
        <v>1.3</v>
      </c>
      <c r="BX35" s="107">
        <v>47</v>
      </c>
      <c r="BY35" s="107">
        <v>41</v>
      </c>
      <c r="BZ35" s="108">
        <v>129.69999999999999</v>
      </c>
      <c r="CA35" s="109">
        <v>0.22600000000000001</v>
      </c>
      <c r="CB35" s="109">
        <v>0.60699999999999998</v>
      </c>
      <c r="CC35" s="110">
        <v>40</v>
      </c>
      <c r="CD35" s="111">
        <v>13</v>
      </c>
      <c r="CE35" s="109">
        <v>4.2000000000000003E-2</v>
      </c>
      <c r="CF35" s="104">
        <v>3500000</v>
      </c>
      <c r="CG35" s="105">
        <v>6.3E-2</v>
      </c>
      <c r="CH35" s="105">
        <v>0</v>
      </c>
      <c r="CI35" s="105">
        <v>6.4000000000000001E-2</v>
      </c>
    </row>
    <row r="36" spans="1:87" s="222" customFormat="1" ht="22.8" x14ac:dyDescent="0.3">
      <c r="A36" s="57">
        <v>114</v>
      </c>
      <c r="B36" s="57" t="s">
        <v>177</v>
      </c>
      <c r="C36" s="57" t="s">
        <v>77</v>
      </c>
      <c r="D36" s="57">
        <v>22350</v>
      </c>
      <c r="E36" s="57">
        <v>2025</v>
      </c>
      <c r="F36" s="57" t="s">
        <v>275</v>
      </c>
      <c r="G36" s="57">
        <v>2</v>
      </c>
      <c r="H36" s="57">
        <v>6</v>
      </c>
      <c r="I36" s="57" t="s">
        <v>709</v>
      </c>
      <c r="J36" s="100">
        <v>1892000</v>
      </c>
      <c r="K36" s="100">
        <v>0</v>
      </c>
      <c r="L36" s="100">
        <v>0</v>
      </c>
      <c r="M36" s="100">
        <v>51726000</v>
      </c>
      <c r="N36" s="100">
        <v>209030000</v>
      </c>
      <c r="O36" s="100">
        <v>0</v>
      </c>
      <c r="P36" s="100">
        <v>6144000</v>
      </c>
      <c r="Q36" s="104">
        <v>268792000</v>
      </c>
      <c r="R36" s="100">
        <v>0</v>
      </c>
      <c r="S36" s="100">
        <v>0</v>
      </c>
      <c r="T36" s="100">
        <v>0</v>
      </c>
      <c r="U36" s="100">
        <v>0</v>
      </c>
      <c r="V36" s="100">
        <v>121168000</v>
      </c>
      <c r="W36" s="100">
        <v>2955000</v>
      </c>
      <c r="X36" s="104">
        <v>118213000</v>
      </c>
      <c r="Y36" s="100">
        <v>0</v>
      </c>
      <c r="Z36" s="104">
        <v>118213000</v>
      </c>
      <c r="AA36" s="104">
        <v>387005000</v>
      </c>
      <c r="AB36" s="100">
        <v>0</v>
      </c>
      <c r="AC36" s="100">
        <v>172000</v>
      </c>
      <c r="AD36" s="100">
        <v>0</v>
      </c>
      <c r="AE36" s="100">
        <v>334636000</v>
      </c>
      <c r="AF36" s="104">
        <v>334808000</v>
      </c>
      <c r="AG36" s="100">
        <v>70000000</v>
      </c>
      <c r="AH36" s="100">
        <v>0</v>
      </c>
      <c r="AI36" s="100">
        <v>0</v>
      </c>
      <c r="AJ36" s="104">
        <v>70000000</v>
      </c>
      <c r="AK36" s="104">
        <v>404808000</v>
      </c>
      <c r="AL36" s="100">
        <v>-17803000</v>
      </c>
      <c r="AM36" s="100">
        <v>0</v>
      </c>
      <c r="AN36" s="100">
        <v>0</v>
      </c>
      <c r="AO36" s="104">
        <v>-17803000</v>
      </c>
      <c r="AP36" s="104">
        <v>387005000</v>
      </c>
      <c r="AQ36" s="100">
        <v>151252000</v>
      </c>
      <c r="AR36" s="100">
        <v>0</v>
      </c>
      <c r="AS36" s="100">
        <v>483000</v>
      </c>
      <c r="AT36" s="100">
        <v>0</v>
      </c>
      <c r="AU36" s="100">
        <v>0</v>
      </c>
      <c r="AV36" s="100">
        <v>0</v>
      </c>
      <c r="AW36" s="104">
        <v>151735000</v>
      </c>
      <c r="AX36" s="100">
        <v>0</v>
      </c>
      <c r="AY36" s="100">
        <v>0</v>
      </c>
      <c r="AZ36" s="100">
        <v>-1113000</v>
      </c>
      <c r="BA36" s="100">
        <v>1000</v>
      </c>
      <c r="BB36" s="100">
        <v>0</v>
      </c>
      <c r="BC36" s="104">
        <v>-1112000</v>
      </c>
      <c r="BD36" s="104">
        <v>150623000</v>
      </c>
      <c r="BE36" s="100">
        <v>66944000</v>
      </c>
      <c r="BF36" s="100">
        <v>0</v>
      </c>
      <c r="BG36" s="100">
        <v>2954000</v>
      </c>
      <c r="BH36" s="100">
        <v>6421000</v>
      </c>
      <c r="BI36" s="100">
        <v>2677000</v>
      </c>
      <c r="BJ36" s="100">
        <v>67778000</v>
      </c>
      <c r="BK36" s="100">
        <v>0</v>
      </c>
      <c r="BL36" s="104">
        <v>146774000</v>
      </c>
      <c r="BM36" s="104">
        <v>3849000</v>
      </c>
      <c r="BN36" s="100">
        <v>-21652000</v>
      </c>
      <c r="BO36" s="100">
        <v>0</v>
      </c>
      <c r="BP36" s="100">
        <v>-17803000</v>
      </c>
      <c r="BQ36" s="100">
        <v>0</v>
      </c>
      <c r="BR36" s="100">
        <v>0</v>
      </c>
      <c r="BS36" s="104">
        <v>-17803000</v>
      </c>
      <c r="BT36" s="105">
        <v>3.3000000000000002E-2</v>
      </c>
      <c r="BU36" s="105">
        <v>-7.0000000000000001E-3</v>
      </c>
      <c r="BV36" s="105">
        <v>2.5999999999999999E-2</v>
      </c>
      <c r="BW36" s="106">
        <v>0.8</v>
      </c>
      <c r="BX36" s="107">
        <v>62</v>
      </c>
      <c r="BY36" s="107">
        <v>425</v>
      </c>
      <c r="BZ36" s="108">
        <v>2.2000000000000002</v>
      </c>
      <c r="CA36" s="109">
        <v>0.02</v>
      </c>
      <c r="CB36" s="109">
        <v>-4.5999999999999999E-2</v>
      </c>
      <c r="CC36" s="110">
        <v>1</v>
      </c>
      <c r="CD36" s="111">
        <v>2</v>
      </c>
      <c r="CE36" s="109">
        <v>1.341</v>
      </c>
      <c r="CF36" s="104">
        <v>3023000</v>
      </c>
      <c r="CG36" s="105">
        <v>8.9999999999999993E-3</v>
      </c>
      <c r="CH36" s="105">
        <v>7.0000000000000001E-3</v>
      </c>
      <c r="CI36" s="105">
        <v>1.6E-2</v>
      </c>
    </row>
    <row r="37" spans="1:87" s="222" customFormat="1" ht="22.8" x14ac:dyDescent="0.3">
      <c r="A37" s="14">
        <v>122</v>
      </c>
      <c r="B37" s="14" t="s">
        <v>168</v>
      </c>
      <c r="C37" s="14" t="s">
        <v>77</v>
      </c>
      <c r="D37" s="14">
        <v>12759</v>
      </c>
      <c r="E37" s="14">
        <v>2025</v>
      </c>
      <c r="F37" s="14" t="s">
        <v>275</v>
      </c>
      <c r="G37" s="14">
        <v>2</v>
      </c>
      <c r="H37" s="14">
        <v>6</v>
      </c>
      <c r="I37" s="14" t="s">
        <v>709</v>
      </c>
      <c r="J37" s="96">
        <v>25028617</v>
      </c>
      <c r="K37" s="96">
        <v>0</v>
      </c>
      <c r="L37" s="96">
        <v>3794341</v>
      </c>
      <c r="M37" s="96">
        <v>112957750</v>
      </c>
      <c r="N37" s="96">
        <v>0</v>
      </c>
      <c r="O37" s="96">
        <v>4131487</v>
      </c>
      <c r="P37" s="96">
        <v>29551822</v>
      </c>
      <c r="Q37" s="104">
        <v>175464017</v>
      </c>
      <c r="R37" s="96">
        <v>220169450</v>
      </c>
      <c r="S37" s="96">
        <v>1662914</v>
      </c>
      <c r="T37" s="96">
        <v>0</v>
      </c>
      <c r="U37" s="96">
        <v>0</v>
      </c>
      <c r="V37" s="96">
        <v>648429131</v>
      </c>
      <c r="W37" s="96">
        <v>417435226</v>
      </c>
      <c r="X37" s="104">
        <v>230993905</v>
      </c>
      <c r="Y37" s="96">
        <v>51567292</v>
      </c>
      <c r="Z37" s="104">
        <v>504393561</v>
      </c>
      <c r="AA37" s="104">
        <v>679857578</v>
      </c>
      <c r="AB37" s="96">
        <v>12771853</v>
      </c>
      <c r="AC37" s="96">
        <v>0</v>
      </c>
      <c r="AD37" s="96">
        <v>477573</v>
      </c>
      <c r="AE37" s="96">
        <v>109968356</v>
      </c>
      <c r="AF37" s="104">
        <v>123217782</v>
      </c>
      <c r="AG37" s="96">
        <v>165613112</v>
      </c>
      <c r="AH37" s="96">
        <v>0</v>
      </c>
      <c r="AI37" s="96">
        <v>35370312</v>
      </c>
      <c r="AJ37" s="104">
        <v>200983424</v>
      </c>
      <c r="AK37" s="104">
        <v>324201206</v>
      </c>
      <c r="AL37" s="96">
        <v>336439873</v>
      </c>
      <c r="AM37" s="96">
        <v>0</v>
      </c>
      <c r="AN37" s="96">
        <v>19216499</v>
      </c>
      <c r="AO37" s="104">
        <v>355656372</v>
      </c>
      <c r="AP37" s="104">
        <v>679857578</v>
      </c>
      <c r="AQ37" s="96">
        <v>407964036</v>
      </c>
      <c r="AR37" s="96">
        <v>0</v>
      </c>
      <c r="AS37" s="96">
        <v>26397528</v>
      </c>
      <c r="AT37" s="96">
        <v>0</v>
      </c>
      <c r="AU37" s="96">
        <v>0</v>
      </c>
      <c r="AV37" s="96">
        <v>1359276</v>
      </c>
      <c r="AW37" s="104">
        <v>435720840</v>
      </c>
      <c r="AX37" s="96">
        <v>564756</v>
      </c>
      <c r="AY37" s="96">
        <v>578733</v>
      </c>
      <c r="AZ37" s="96">
        <v>-10861975</v>
      </c>
      <c r="BA37" s="96">
        <v>7571644</v>
      </c>
      <c r="BB37" s="96">
        <v>-1616316</v>
      </c>
      <c r="BC37" s="104">
        <v>-3763158</v>
      </c>
      <c r="BD37" s="104">
        <v>431957682</v>
      </c>
      <c r="BE37" s="96">
        <v>260127760</v>
      </c>
      <c r="BF37" s="96">
        <v>0</v>
      </c>
      <c r="BG37" s="96">
        <v>15099731</v>
      </c>
      <c r="BH37" s="96">
        <v>3571147</v>
      </c>
      <c r="BI37" s="96">
        <v>319527</v>
      </c>
      <c r="BJ37" s="96">
        <v>173503718</v>
      </c>
      <c r="BK37" s="96">
        <v>0</v>
      </c>
      <c r="BL37" s="104">
        <v>452621883</v>
      </c>
      <c r="BM37" s="104">
        <v>-20664201</v>
      </c>
      <c r="BN37" s="96">
        <v>0</v>
      </c>
      <c r="BO37" s="96">
        <v>1669089</v>
      </c>
      <c r="BP37" s="96">
        <v>-18995112</v>
      </c>
      <c r="BQ37" s="96">
        <v>0</v>
      </c>
      <c r="BR37" s="96">
        <v>0</v>
      </c>
      <c r="BS37" s="104">
        <v>-18995112</v>
      </c>
      <c r="BT37" s="105">
        <v>-3.9E-2</v>
      </c>
      <c r="BU37" s="105">
        <v>-8.9999999999999993E-3</v>
      </c>
      <c r="BV37" s="105">
        <v>-4.8000000000000001E-2</v>
      </c>
      <c r="BW37" s="106">
        <v>1.4</v>
      </c>
      <c r="BX37" s="107">
        <v>51</v>
      </c>
      <c r="BY37" s="107">
        <v>51</v>
      </c>
      <c r="BZ37" s="108">
        <v>0.5</v>
      </c>
      <c r="CA37" s="109">
        <v>1.7999999999999999E-2</v>
      </c>
      <c r="CB37" s="109">
        <v>0.52300000000000002</v>
      </c>
      <c r="CC37" s="110">
        <v>28</v>
      </c>
      <c r="CD37" s="111">
        <v>10</v>
      </c>
      <c r="CE37" s="109">
        <v>0.33</v>
      </c>
      <c r="CF37" s="104">
        <v>658000</v>
      </c>
      <c r="CG37" s="105">
        <v>2.1000000000000001E-2</v>
      </c>
      <c r="CH37" s="105">
        <v>-1.9E-2</v>
      </c>
      <c r="CI37" s="105">
        <v>2E-3</v>
      </c>
    </row>
    <row r="38" spans="1:87" s="222" customFormat="1" ht="22.8" x14ac:dyDescent="0.3">
      <c r="A38" s="57">
        <v>126</v>
      </c>
      <c r="B38" s="57" t="s">
        <v>693</v>
      </c>
      <c r="C38" s="57" t="s">
        <v>77</v>
      </c>
      <c r="D38" s="57">
        <v>14287</v>
      </c>
      <c r="E38" s="57">
        <v>2025</v>
      </c>
      <c r="F38" s="57" t="s">
        <v>275</v>
      </c>
      <c r="G38" s="57">
        <v>2</v>
      </c>
      <c r="H38" s="57">
        <v>6</v>
      </c>
      <c r="I38" s="57" t="s">
        <v>709</v>
      </c>
      <c r="J38" s="100">
        <v>21559762</v>
      </c>
      <c r="K38" s="100">
        <v>0</v>
      </c>
      <c r="L38" s="100">
        <v>0</v>
      </c>
      <c r="M38" s="100">
        <v>64203046</v>
      </c>
      <c r="N38" s="100">
        <v>0</v>
      </c>
      <c r="O38" s="100">
        <v>-38036245</v>
      </c>
      <c r="P38" s="100">
        <v>9466050</v>
      </c>
      <c r="Q38" s="104">
        <v>57192613</v>
      </c>
      <c r="R38" s="100">
        <v>0</v>
      </c>
      <c r="S38" s="100">
        <v>0</v>
      </c>
      <c r="T38" s="100">
        <v>0</v>
      </c>
      <c r="U38" s="100">
        <v>0</v>
      </c>
      <c r="V38" s="100">
        <v>5820692</v>
      </c>
      <c r="W38" s="100">
        <v>90699</v>
      </c>
      <c r="X38" s="104">
        <v>5729993</v>
      </c>
      <c r="Y38" s="100">
        <v>12835423</v>
      </c>
      <c r="Z38" s="104">
        <v>18565416</v>
      </c>
      <c r="AA38" s="104">
        <v>75758029</v>
      </c>
      <c r="AB38" s="100">
        <v>0</v>
      </c>
      <c r="AC38" s="100">
        <v>0</v>
      </c>
      <c r="AD38" s="100">
        <v>25000000</v>
      </c>
      <c r="AE38" s="100">
        <v>40057710</v>
      </c>
      <c r="AF38" s="104">
        <v>65057710</v>
      </c>
      <c r="AG38" s="100">
        <v>6707629</v>
      </c>
      <c r="AH38" s="100">
        <v>0</v>
      </c>
      <c r="AI38" s="100">
        <v>59284617</v>
      </c>
      <c r="AJ38" s="104">
        <v>65992246</v>
      </c>
      <c r="AK38" s="104">
        <v>131049956</v>
      </c>
      <c r="AL38" s="100">
        <v>-55293608</v>
      </c>
      <c r="AM38" s="100">
        <v>0</v>
      </c>
      <c r="AN38" s="100">
        <v>1681</v>
      </c>
      <c r="AO38" s="104">
        <v>-55291927</v>
      </c>
      <c r="AP38" s="104">
        <v>75758029</v>
      </c>
      <c r="AQ38" s="100">
        <v>166229734</v>
      </c>
      <c r="AR38" s="100">
        <v>0</v>
      </c>
      <c r="AS38" s="100">
        <v>2282894</v>
      </c>
      <c r="AT38" s="100">
        <v>0</v>
      </c>
      <c r="AU38" s="100">
        <v>0</v>
      </c>
      <c r="AV38" s="100">
        <v>0</v>
      </c>
      <c r="AW38" s="104">
        <v>168512628</v>
      </c>
      <c r="AX38" s="100">
        <v>94999</v>
      </c>
      <c r="AY38" s="100">
        <v>200</v>
      </c>
      <c r="AZ38" s="100">
        <v>0</v>
      </c>
      <c r="BA38" s="100">
        <v>0</v>
      </c>
      <c r="BB38" s="100">
        <v>0</v>
      </c>
      <c r="BC38" s="104">
        <v>95199</v>
      </c>
      <c r="BD38" s="104">
        <v>168607827</v>
      </c>
      <c r="BE38" s="100">
        <v>153869561</v>
      </c>
      <c r="BF38" s="100">
        <v>0</v>
      </c>
      <c r="BG38" s="100">
        <v>391199</v>
      </c>
      <c r="BH38" s="100">
        <v>0</v>
      </c>
      <c r="BI38" s="100">
        <v>5267178</v>
      </c>
      <c r="BJ38" s="100">
        <v>64371498</v>
      </c>
      <c r="BK38" s="100">
        <v>0</v>
      </c>
      <c r="BL38" s="104">
        <v>223899436</v>
      </c>
      <c r="BM38" s="104">
        <v>-55291609</v>
      </c>
      <c r="BN38" s="100">
        <v>0</v>
      </c>
      <c r="BO38" s="100">
        <v>0</v>
      </c>
      <c r="BP38" s="100">
        <v>-55291609</v>
      </c>
      <c r="BQ38" s="100">
        <v>0</v>
      </c>
      <c r="BR38" s="100">
        <v>0</v>
      </c>
      <c r="BS38" s="104">
        <v>-55291609</v>
      </c>
      <c r="BT38" s="105">
        <v>-0.32800000000000001</v>
      </c>
      <c r="BU38" s="105">
        <v>1E-3</v>
      </c>
      <c r="BV38" s="105">
        <v>-0.32800000000000001</v>
      </c>
      <c r="BW38" s="106">
        <v>0.9</v>
      </c>
      <c r="BX38" s="107">
        <v>70</v>
      </c>
      <c r="BY38" s="107">
        <v>53</v>
      </c>
      <c r="BZ38" s="108">
        <v>0</v>
      </c>
      <c r="CA38" s="109">
        <v>-0.76500000000000001</v>
      </c>
      <c r="CB38" s="109">
        <v>-0.73</v>
      </c>
      <c r="CC38" s="110">
        <v>0</v>
      </c>
      <c r="CD38" s="111">
        <v>18</v>
      </c>
      <c r="CE38" s="109">
        <v>-0.13800000000000001</v>
      </c>
      <c r="CF38" s="104">
        <v>11429000</v>
      </c>
      <c r="CG38" s="105">
        <v>2.4E-2</v>
      </c>
      <c r="CH38" s="105">
        <v>3.4000000000000002E-2</v>
      </c>
      <c r="CI38" s="105">
        <v>5.8999999999999997E-2</v>
      </c>
    </row>
    <row r="39" spans="1:87" s="222" customFormat="1" ht="22.8" x14ac:dyDescent="0.3">
      <c r="A39" s="57">
        <v>127</v>
      </c>
      <c r="B39" s="57" t="s">
        <v>542</v>
      </c>
      <c r="C39" s="57" t="s">
        <v>77</v>
      </c>
      <c r="D39" s="57">
        <v>3888</v>
      </c>
      <c r="E39" s="57">
        <v>2025</v>
      </c>
      <c r="F39" s="57" t="s">
        <v>630</v>
      </c>
      <c r="G39" s="57">
        <v>1</v>
      </c>
      <c r="H39" s="57">
        <v>3</v>
      </c>
      <c r="I39" s="57" t="s">
        <v>710</v>
      </c>
      <c r="J39" s="100">
        <v>1813057</v>
      </c>
      <c r="K39" s="100">
        <v>0</v>
      </c>
      <c r="L39" s="100">
        <v>0</v>
      </c>
      <c r="M39" s="100">
        <v>60534929</v>
      </c>
      <c r="N39" s="100">
        <v>0</v>
      </c>
      <c r="O39" s="100">
        <v>-3199476</v>
      </c>
      <c r="P39" s="100">
        <v>23110069</v>
      </c>
      <c r="Q39" s="104">
        <v>82258579</v>
      </c>
      <c r="R39" s="100">
        <v>0</v>
      </c>
      <c r="S39" s="100">
        <v>0</v>
      </c>
      <c r="T39" s="100">
        <v>0</v>
      </c>
      <c r="U39" s="100">
        <v>0</v>
      </c>
      <c r="V39" s="100">
        <v>412057130</v>
      </c>
      <c r="W39" s="100">
        <v>159427077</v>
      </c>
      <c r="X39" s="104">
        <v>252630053</v>
      </c>
      <c r="Y39" s="100">
        <v>17335488</v>
      </c>
      <c r="Z39" s="104">
        <v>269965541</v>
      </c>
      <c r="AA39" s="104">
        <v>352224120</v>
      </c>
      <c r="AB39" s="100">
        <v>269914</v>
      </c>
      <c r="AC39" s="100">
        <v>0</v>
      </c>
      <c r="AD39" s="100">
        <v>0</v>
      </c>
      <c r="AE39" s="100">
        <v>29989844</v>
      </c>
      <c r="AF39" s="104">
        <v>30259758</v>
      </c>
      <c r="AG39" s="100">
        <v>0</v>
      </c>
      <c r="AH39" s="100">
        <v>53606497</v>
      </c>
      <c r="AI39" s="100">
        <v>4208703</v>
      </c>
      <c r="AJ39" s="104">
        <v>57815200</v>
      </c>
      <c r="AK39" s="104">
        <v>88074958</v>
      </c>
      <c r="AL39" s="100">
        <v>264149162</v>
      </c>
      <c r="AM39" s="100">
        <v>0</v>
      </c>
      <c r="AN39" s="100">
        <v>0</v>
      </c>
      <c r="AO39" s="104">
        <v>264149162</v>
      </c>
      <c r="AP39" s="104">
        <v>352224120</v>
      </c>
      <c r="AQ39" s="100">
        <v>108280794</v>
      </c>
      <c r="AR39" s="100">
        <v>0</v>
      </c>
      <c r="AS39" s="100">
        <v>1810185.93</v>
      </c>
      <c r="AT39" s="100">
        <v>0</v>
      </c>
      <c r="AU39" s="100">
        <v>0</v>
      </c>
      <c r="AV39" s="100">
        <v>0</v>
      </c>
      <c r="AW39" s="104">
        <v>110090979.93000001</v>
      </c>
      <c r="AX39" s="100">
        <v>4848</v>
      </c>
      <c r="AY39" s="100">
        <v>25494.07</v>
      </c>
      <c r="AZ39" s="100">
        <v>0</v>
      </c>
      <c r="BA39" s="100">
        <v>0</v>
      </c>
      <c r="BB39" s="100">
        <v>0</v>
      </c>
      <c r="BC39" s="104">
        <v>30342.07</v>
      </c>
      <c r="BD39" s="104">
        <v>110121322</v>
      </c>
      <c r="BE39" s="100">
        <v>45430201</v>
      </c>
      <c r="BF39" s="100">
        <v>0</v>
      </c>
      <c r="BG39" s="100">
        <v>3790615</v>
      </c>
      <c r="BH39" s="100">
        <v>3880990</v>
      </c>
      <c r="BI39" s="100">
        <v>915744</v>
      </c>
      <c r="BJ39" s="100">
        <v>57772933</v>
      </c>
      <c r="BK39" s="100">
        <v>0</v>
      </c>
      <c r="BL39" s="104">
        <v>111790483</v>
      </c>
      <c r="BM39" s="104">
        <v>-1669161</v>
      </c>
      <c r="BN39" s="100">
        <v>0</v>
      </c>
      <c r="BO39" s="100">
        <v>0</v>
      </c>
      <c r="BP39" s="100">
        <v>-1669161</v>
      </c>
      <c r="BQ39" s="100">
        <v>0</v>
      </c>
      <c r="BR39" s="100">
        <v>0</v>
      </c>
      <c r="BS39" s="104">
        <v>-1669161</v>
      </c>
      <c r="BT39" s="105">
        <v>-1.4999999999999999E-2</v>
      </c>
      <c r="BU39" s="105">
        <v>0</v>
      </c>
      <c r="BV39" s="105">
        <v>-1.4999999999999999E-2</v>
      </c>
      <c r="BW39" s="106">
        <v>2.7</v>
      </c>
      <c r="BX39" s="107">
        <v>51</v>
      </c>
      <c r="BY39" s="107">
        <v>26</v>
      </c>
      <c r="BZ39" s="108">
        <v>1.4</v>
      </c>
      <c r="CA39" s="109">
        <v>7.0000000000000007E-2</v>
      </c>
      <c r="CB39" s="109">
        <v>0.75</v>
      </c>
      <c r="CC39" s="110">
        <v>42</v>
      </c>
      <c r="CD39" s="111">
        <v>2</v>
      </c>
      <c r="CE39" s="109">
        <v>0</v>
      </c>
      <c r="CF39" s="104">
        <v>9408000</v>
      </c>
      <c r="CG39" s="105">
        <v>3.5999999999999997E-2</v>
      </c>
      <c r="CH39" s="105">
        <v>-1.0999999999999999E-2</v>
      </c>
      <c r="CI39" s="105">
        <v>2.5000000000000001E-2</v>
      </c>
    </row>
    <row r="40" spans="1:87" s="222" customFormat="1" ht="22.8" x14ac:dyDescent="0.3">
      <c r="A40" s="57">
        <v>129</v>
      </c>
      <c r="B40" s="57" t="s">
        <v>181</v>
      </c>
      <c r="C40" s="57" t="s">
        <v>77</v>
      </c>
      <c r="D40" s="57">
        <v>12773</v>
      </c>
      <c r="E40" s="57">
        <v>2025</v>
      </c>
      <c r="F40" s="57" t="s">
        <v>275</v>
      </c>
      <c r="G40" s="57">
        <v>2</v>
      </c>
      <c r="H40" s="57">
        <v>6</v>
      </c>
      <c r="I40" s="57" t="s">
        <v>709</v>
      </c>
      <c r="J40" s="100">
        <v>15071095</v>
      </c>
      <c r="K40" s="100">
        <v>0</v>
      </c>
      <c r="L40" s="100">
        <v>0</v>
      </c>
      <c r="M40" s="100">
        <v>28018719</v>
      </c>
      <c r="N40" s="100">
        <v>16368203</v>
      </c>
      <c r="O40" s="100">
        <v>0</v>
      </c>
      <c r="P40" s="100">
        <v>11774481</v>
      </c>
      <c r="Q40" s="104">
        <v>71232498</v>
      </c>
      <c r="R40" s="100">
        <v>17482699</v>
      </c>
      <c r="S40" s="100">
        <v>0</v>
      </c>
      <c r="T40" s="100">
        <v>0</v>
      </c>
      <c r="U40" s="100">
        <v>0</v>
      </c>
      <c r="V40" s="100">
        <v>283941501</v>
      </c>
      <c r="W40" s="100">
        <v>161517260</v>
      </c>
      <c r="X40" s="104">
        <v>122424241</v>
      </c>
      <c r="Y40" s="100">
        <v>456719925</v>
      </c>
      <c r="Z40" s="104">
        <v>596626865</v>
      </c>
      <c r="AA40" s="104">
        <v>667859363</v>
      </c>
      <c r="AB40" s="100">
        <v>0</v>
      </c>
      <c r="AC40" s="100">
        <v>1238398</v>
      </c>
      <c r="AD40" s="100">
        <v>1156154</v>
      </c>
      <c r="AE40" s="100">
        <v>32824943</v>
      </c>
      <c r="AF40" s="104">
        <v>35219495</v>
      </c>
      <c r="AG40" s="100">
        <v>0</v>
      </c>
      <c r="AH40" s="100">
        <v>48932397</v>
      </c>
      <c r="AI40" s="100">
        <v>17097293</v>
      </c>
      <c r="AJ40" s="104">
        <v>66029690</v>
      </c>
      <c r="AK40" s="104">
        <v>101249185</v>
      </c>
      <c r="AL40" s="100">
        <v>566587586</v>
      </c>
      <c r="AM40" s="100">
        <v>22591</v>
      </c>
      <c r="AN40" s="100">
        <v>0</v>
      </c>
      <c r="AO40" s="104">
        <v>566610177</v>
      </c>
      <c r="AP40" s="104">
        <v>667859362</v>
      </c>
      <c r="AQ40" s="100">
        <v>125681331</v>
      </c>
      <c r="AR40" s="100">
        <v>0</v>
      </c>
      <c r="AS40" s="100">
        <v>6416870</v>
      </c>
      <c r="AT40" s="100">
        <v>0</v>
      </c>
      <c r="AU40" s="100">
        <v>0</v>
      </c>
      <c r="AV40" s="100">
        <v>0</v>
      </c>
      <c r="AW40" s="104">
        <v>132098201</v>
      </c>
      <c r="AX40" s="100">
        <v>21064091</v>
      </c>
      <c r="AY40" s="100">
        <v>0</v>
      </c>
      <c r="AZ40" s="100">
        <v>0</v>
      </c>
      <c r="BA40" s="100">
        <v>-12261449</v>
      </c>
      <c r="BB40" s="100">
        <v>231555</v>
      </c>
      <c r="BC40" s="104">
        <v>9034197</v>
      </c>
      <c r="BD40" s="104">
        <v>141132398</v>
      </c>
      <c r="BE40" s="100">
        <v>76562948</v>
      </c>
      <c r="BF40" s="100">
        <v>0</v>
      </c>
      <c r="BG40" s="100">
        <v>6998997</v>
      </c>
      <c r="BH40" s="100">
        <v>0</v>
      </c>
      <c r="BI40" s="100">
        <v>1633716</v>
      </c>
      <c r="BJ40" s="100">
        <v>46845031</v>
      </c>
      <c r="BK40" s="100">
        <v>0</v>
      </c>
      <c r="BL40" s="104">
        <v>132040692</v>
      </c>
      <c r="BM40" s="104">
        <v>9091706</v>
      </c>
      <c r="BN40" s="100">
        <v>0</v>
      </c>
      <c r="BO40" s="100">
        <v>0</v>
      </c>
      <c r="BP40" s="100">
        <v>9091706</v>
      </c>
      <c r="BQ40" s="100">
        <v>0</v>
      </c>
      <c r="BR40" s="100">
        <v>0</v>
      </c>
      <c r="BS40" s="104">
        <v>9091706</v>
      </c>
      <c r="BT40" s="105">
        <v>0</v>
      </c>
      <c r="BU40" s="105">
        <v>6.4000000000000001E-2</v>
      </c>
      <c r="BV40" s="105">
        <v>6.4000000000000001E-2</v>
      </c>
      <c r="BW40" s="106">
        <v>2</v>
      </c>
      <c r="BX40" s="107">
        <v>41</v>
      </c>
      <c r="BY40" s="107">
        <v>50</v>
      </c>
      <c r="BZ40" s="108">
        <v>0</v>
      </c>
      <c r="CA40" s="109">
        <v>0.45700000000000002</v>
      </c>
      <c r="CB40" s="109">
        <v>0.84799999999999998</v>
      </c>
      <c r="CC40" s="110">
        <v>23</v>
      </c>
      <c r="CD40" s="111">
        <v>22</v>
      </c>
      <c r="CE40" s="109">
        <v>0</v>
      </c>
      <c r="CF40" s="104">
        <v>-7323000</v>
      </c>
      <c r="CG40" s="105">
        <v>-8.7999999999999995E-2</v>
      </c>
      <c r="CH40" s="105">
        <v>1.7999999999999999E-2</v>
      </c>
      <c r="CI40" s="105">
        <v>-7.0000000000000007E-2</v>
      </c>
    </row>
    <row r="41" spans="1:87" s="222" customFormat="1" ht="22.8" x14ac:dyDescent="0.3">
      <c r="A41" s="57">
        <v>133</v>
      </c>
      <c r="B41" s="57" t="s">
        <v>200</v>
      </c>
      <c r="C41" s="57" t="s">
        <v>77</v>
      </c>
      <c r="D41" s="57">
        <v>6755</v>
      </c>
      <c r="E41" s="57">
        <v>2025</v>
      </c>
      <c r="F41" s="57" t="s">
        <v>275</v>
      </c>
      <c r="G41" s="57">
        <v>2</v>
      </c>
      <c r="H41" s="57">
        <v>6</v>
      </c>
      <c r="I41" s="57" t="s">
        <v>709</v>
      </c>
      <c r="J41" s="100">
        <v>1934000</v>
      </c>
      <c r="K41" s="100">
        <v>455000</v>
      </c>
      <c r="L41" s="100">
        <v>0</v>
      </c>
      <c r="M41" s="100">
        <v>24540000</v>
      </c>
      <c r="N41" s="100">
        <v>135293000</v>
      </c>
      <c r="O41" s="100">
        <v>5467000</v>
      </c>
      <c r="P41" s="100">
        <v>2239000</v>
      </c>
      <c r="Q41" s="104">
        <v>169928000</v>
      </c>
      <c r="R41" s="100">
        <v>5935000</v>
      </c>
      <c r="S41" s="100">
        <v>0</v>
      </c>
      <c r="T41" s="100">
        <v>0</v>
      </c>
      <c r="U41" s="100">
        <v>0</v>
      </c>
      <c r="V41" s="100">
        <v>74766000</v>
      </c>
      <c r="W41" s="100">
        <v>43105000</v>
      </c>
      <c r="X41" s="104">
        <v>31661000</v>
      </c>
      <c r="Y41" s="100">
        <v>26338000</v>
      </c>
      <c r="Z41" s="104">
        <v>63934000</v>
      </c>
      <c r="AA41" s="104">
        <v>233862000</v>
      </c>
      <c r="AB41" s="100">
        <v>0</v>
      </c>
      <c r="AC41" s="100">
        <v>484000</v>
      </c>
      <c r="AD41" s="100">
        <v>146001000</v>
      </c>
      <c r="AE41" s="100">
        <v>10081000</v>
      </c>
      <c r="AF41" s="104">
        <v>156566000</v>
      </c>
      <c r="AG41" s="100">
        <v>0</v>
      </c>
      <c r="AH41" s="100">
        <v>11003000</v>
      </c>
      <c r="AI41" s="100">
        <v>1847000</v>
      </c>
      <c r="AJ41" s="104">
        <v>12850000</v>
      </c>
      <c r="AK41" s="104">
        <v>169416000</v>
      </c>
      <c r="AL41" s="100">
        <v>58760000</v>
      </c>
      <c r="AM41" s="100">
        <v>3549000</v>
      </c>
      <c r="AN41" s="100">
        <v>2136000</v>
      </c>
      <c r="AO41" s="104">
        <v>64445000</v>
      </c>
      <c r="AP41" s="104">
        <v>233861000</v>
      </c>
      <c r="AQ41" s="100">
        <v>64148000</v>
      </c>
      <c r="AR41" s="100">
        <v>0</v>
      </c>
      <c r="AS41" s="100">
        <v>1405000</v>
      </c>
      <c r="AT41" s="100">
        <v>0</v>
      </c>
      <c r="AU41" s="100">
        <v>0</v>
      </c>
      <c r="AV41" s="100">
        <v>135000</v>
      </c>
      <c r="AW41" s="104">
        <v>65688000</v>
      </c>
      <c r="AX41" s="100">
        <v>272000</v>
      </c>
      <c r="AY41" s="100">
        <v>557000</v>
      </c>
      <c r="AZ41" s="100"/>
      <c r="BA41" s="100">
        <v>-99000</v>
      </c>
      <c r="BB41" s="100">
        <v>0</v>
      </c>
      <c r="BC41" s="104">
        <v>730000</v>
      </c>
      <c r="BD41" s="104">
        <v>66418000</v>
      </c>
      <c r="BE41" s="100">
        <v>24650000</v>
      </c>
      <c r="BF41" s="100">
        <v>0</v>
      </c>
      <c r="BG41" s="100">
        <v>1783000</v>
      </c>
      <c r="BH41" s="100">
        <v>366000</v>
      </c>
      <c r="BI41" s="100">
        <v>1541000</v>
      </c>
      <c r="BJ41" s="100">
        <v>35187000</v>
      </c>
      <c r="BK41" s="100">
        <v>0</v>
      </c>
      <c r="BL41" s="104">
        <v>63527000</v>
      </c>
      <c r="BM41" s="104">
        <v>2891000</v>
      </c>
      <c r="BN41" s="100">
        <v>-511000</v>
      </c>
      <c r="BO41" s="100">
        <v>0</v>
      </c>
      <c r="BP41" s="100">
        <v>2380000</v>
      </c>
      <c r="BQ41" s="100">
        <v>0</v>
      </c>
      <c r="BR41" s="100">
        <v>0</v>
      </c>
      <c r="BS41" s="104">
        <v>2380000</v>
      </c>
      <c r="BT41" s="109">
        <v>3.3000000000000002E-2</v>
      </c>
      <c r="BU41" s="109">
        <v>1.0999999999999999E-2</v>
      </c>
      <c r="BV41" s="109">
        <v>4.3999999999999997E-2</v>
      </c>
      <c r="BW41" s="106">
        <v>1.1000000000000001</v>
      </c>
      <c r="BX41" s="107">
        <v>70</v>
      </c>
      <c r="BY41" s="107">
        <v>461</v>
      </c>
      <c r="BZ41" s="108">
        <v>13.8</v>
      </c>
      <c r="CA41" s="109">
        <v>0.03</v>
      </c>
      <c r="CB41" s="109">
        <v>0.27600000000000002</v>
      </c>
      <c r="CC41" s="110">
        <v>24</v>
      </c>
      <c r="CD41" s="110"/>
      <c r="CE41" s="110"/>
      <c r="CF41" s="104">
        <v>5797000</v>
      </c>
      <c r="CG41" s="105">
        <v>5.8999999999999997E-2</v>
      </c>
      <c r="CH41" s="105">
        <v>-0.02</v>
      </c>
      <c r="CI41" s="105">
        <v>3.9E-2</v>
      </c>
    </row>
    <row r="42" spans="1:87" s="222" customFormat="1" ht="22.8" x14ac:dyDescent="0.3">
      <c r="A42" s="14">
        <v>138</v>
      </c>
      <c r="B42" s="14" t="s">
        <v>101</v>
      </c>
      <c r="C42" s="14" t="s">
        <v>77</v>
      </c>
      <c r="D42" s="14">
        <v>16665</v>
      </c>
      <c r="E42" s="14">
        <v>2025</v>
      </c>
      <c r="F42" s="14" t="s">
        <v>275</v>
      </c>
      <c r="G42" s="14">
        <v>2</v>
      </c>
      <c r="H42" s="14">
        <v>6</v>
      </c>
      <c r="I42" s="14" t="s">
        <v>709</v>
      </c>
      <c r="J42" s="96">
        <v>1868000</v>
      </c>
      <c r="K42" s="96">
        <v>231555000</v>
      </c>
      <c r="L42" s="96">
        <v>0</v>
      </c>
      <c r="M42" s="96">
        <v>42038000</v>
      </c>
      <c r="N42" s="96">
        <v>104488000</v>
      </c>
      <c r="O42" s="96">
        <v>0</v>
      </c>
      <c r="P42" s="96">
        <v>13658000</v>
      </c>
      <c r="Q42" s="104">
        <v>393607000</v>
      </c>
      <c r="R42" s="96">
        <v>31026000</v>
      </c>
      <c r="S42" s="96">
        <v>0</v>
      </c>
      <c r="T42" s="96">
        <v>0</v>
      </c>
      <c r="U42" s="96">
        <v>0</v>
      </c>
      <c r="V42" s="96">
        <v>286760000</v>
      </c>
      <c r="W42" s="96">
        <v>176112000</v>
      </c>
      <c r="X42" s="104">
        <v>110648000</v>
      </c>
      <c r="Y42" s="96">
        <v>43576000</v>
      </c>
      <c r="Z42" s="104">
        <v>185250000</v>
      </c>
      <c r="AA42" s="104">
        <v>578857000</v>
      </c>
      <c r="AB42" s="96">
        <v>3465000</v>
      </c>
      <c r="AC42" s="96">
        <v>5803000</v>
      </c>
      <c r="AD42" s="96">
        <v>0</v>
      </c>
      <c r="AE42" s="96">
        <v>39127000</v>
      </c>
      <c r="AF42" s="104">
        <v>48395000</v>
      </c>
      <c r="AG42" s="96">
        <v>66248000</v>
      </c>
      <c r="AH42" s="96">
        <v>0</v>
      </c>
      <c r="AI42" s="96">
        <v>17014000</v>
      </c>
      <c r="AJ42" s="104">
        <v>83262000</v>
      </c>
      <c r="AK42" s="104">
        <v>131657000</v>
      </c>
      <c r="AL42" s="96">
        <v>416835000</v>
      </c>
      <c r="AM42" s="96">
        <v>20252000</v>
      </c>
      <c r="AN42" s="96">
        <v>10113000</v>
      </c>
      <c r="AO42" s="104">
        <v>447200000</v>
      </c>
      <c r="AP42" s="104">
        <v>578857000</v>
      </c>
      <c r="AQ42" s="96">
        <v>192947000</v>
      </c>
      <c r="AR42" s="96">
        <v>0</v>
      </c>
      <c r="AS42" s="96">
        <v>14271000</v>
      </c>
      <c r="AT42" s="96">
        <v>0</v>
      </c>
      <c r="AU42" s="96">
        <v>0</v>
      </c>
      <c r="AV42" s="96">
        <v>0</v>
      </c>
      <c r="AW42" s="104">
        <v>207218000</v>
      </c>
      <c r="AX42" s="96">
        <v>1475000</v>
      </c>
      <c r="AY42" s="96">
        <v>0</v>
      </c>
      <c r="AZ42" s="96">
        <v>-5545000</v>
      </c>
      <c r="BA42" s="96">
        <v>0</v>
      </c>
      <c r="BB42" s="96">
        <v>-130000</v>
      </c>
      <c r="BC42" s="104">
        <v>-4200000</v>
      </c>
      <c r="BD42" s="104">
        <v>203018000</v>
      </c>
      <c r="BE42" s="96">
        <v>84058000</v>
      </c>
      <c r="BF42" s="96">
        <v>0</v>
      </c>
      <c r="BG42" s="96">
        <v>8951000</v>
      </c>
      <c r="BH42" s="96">
        <v>1095000</v>
      </c>
      <c r="BI42" s="96">
        <v>4567000</v>
      </c>
      <c r="BJ42" s="96">
        <v>80844000</v>
      </c>
      <c r="BK42" s="96">
        <v>0</v>
      </c>
      <c r="BL42" s="104">
        <v>179515000</v>
      </c>
      <c r="BM42" s="104">
        <v>23503000</v>
      </c>
      <c r="BN42" s="96">
        <v>0</v>
      </c>
      <c r="BO42" s="96">
        <v>504000</v>
      </c>
      <c r="BP42" s="96">
        <v>24007000</v>
      </c>
      <c r="BQ42" s="96">
        <v>0</v>
      </c>
      <c r="BR42" s="96">
        <v>0</v>
      </c>
      <c r="BS42" s="104">
        <v>24007000</v>
      </c>
      <c r="BT42" s="105">
        <v>0.13600000000000001</v>
      </c>
      <c r="BU42" s="105">
        <v>-2.1000000000000001E-2</v>
      </c>
      <c r="BV42" s="105">
        <v>0.11600000000000001</v>
      </c>
      <c r="BW42" s="106">
        <v>8.1</v>
      </c>
      <c r="BX42" s="107">
        <v>40</v>
      </c>
      <c r="BY42" s="107">
        <v>46</v>
      </c>
      <c r="BZ42" s="108">
        <v>8.6</v>
      </c>
      <c r="CA42" s="109">
        <v>0.33100000000000002</v>
      </c>
      <c r="CB42" s="109">
        <v>0.77300000000000002</v>
      </c>
      <c r="CC42" s="110">
        <v>20</v>
      </c>
      <c r="CD42" s="111">
        <v>250</v>
      </c>
      <c r="CE42" s="109">
        <v>0.13700000000000001</v>
      </c>
      <c r="CF42" s="104">
        <v>75806000</v>
      </c>
      <c r="CG42" s="105">
        <v>0.124</v>
      </c>
      <c r="CH42" s="105">
        <v>-1.2E-2</v>
      </c>
      <c r="CI42" s="105">
        <v>0.112</v>
      </c>
    </row>
    <row r="43" spans="1:87" s="222" customFormat="1" ht="22.8" x14ac:dyDescent="0.3">
      <c r="A43" s="14">
        <v>345</v>
      </c>
      <c r="B43" s="14" t="s">
        <v>150</v>
      </c>
      <c r="C43" s="14" t="s">
        <v>77</v>
      </c>
      <c r="D43" s="14">
        <v>3791</v>
      </c>
      <c r="E43" s="14">
        <v>2025</v>
      </c>
      <c r="F43" s="14" t="s">
        <v>275</v>
      </c>
      <c r="G43" s="14">
        <v>2</v>
      </c>
      <c r="H43" s="14">
        <v>6</v>
      </c>
      <c r="I43" s="14" t="s">
        <v>709</v>
      </c>
      <c r="J43" s="96">
        <v>0</v>
      </c>
      <c r="K43" s="96">
        <v>0</v>
      </c>
      <c r="L43" s="96">
        <v>0</v>
      </c>
      <c r="M43" s="96">
        <v>0</v>
      </c>
      <c r="N43" s="96">
        <v>0</v>
      </c>
      <c r="O43" s="96">
        <v>0</v>
      </c>
      <c r="P43" s="96">
        <v>0</v>
      </c>
      <c r="Q43" s="104">
        <v>0</v>
      </c>
      <c r="R43" s="96">
        <v>0</v>
      </c>
      <c r="S43" s="96">
        <v>0</v>
      </c>
      <c r="T43" s="96">
        <v>0</v>
      </c>
      <c r="U43" s="96">
        <v>0</v>
      </c>
      <c r="V43" s="96">
        <v>0</v>
      </c>
      <c r="W43" s="96">
        <v>0</v>
      </c>
      <c r="X43" s="104">
        <v>0</v>
      </c>
      <c r="Y43" s="96">
        <v>0</v>
      </c>
      <c r="Z43" s="104">
        <v>0</v>
      </c>
      <c r="AA43" s="104">
        <v>0</v>
      </c>
      <c r="AB43" s="96">
        <v>0</v>
      </c>
      <c r="AC43" s="96">
        <v>0</v>
      </c>
      <c r="AD43" s="96">
        <v>0</v>
      </c>
      <c r="AE43" s="96">
        <v>0</v>
      </c>
      <c r="AF43" s="104">
        <v>0</v>
      </c>
      <c r="AG43" s="96">
        <v>0</v>
      </c>
      <c r="AH43" s="96">
        <v>0</v>
      </c>
      <c r="AI43" s="96">
        <v>0</v>
      </c>
      <c r="AJ43" s="104">
        <v>0</v>
      </c>
      <c r="AK43" s="104">
        <v>0</v>
      </c>
      <c r="AL43" s="96">
        <v>0</v>
      </c>
      <c r="AM43" s="96">
        <v>0</v>
      </c>
      <c r="AN43" s="96">
        <v>0</v>
      </c>
      <c r="AO43" s="104">
        <v>0</v>
      </c>
      <c r="AP43" s="104">
        <v>0</v>
      </c>
      <c r="AQ43" s="96">
        <v>337199000</v>
      </c>
      <c r="AR43" s="96">
        <v>0</v>
      </c>
      <c r="AS43" s="96">
        <v>58597000</v>
      </c>
      <c r="AT43" s="96">
        <v>0</v>
      </c>
      <c r="AU43" s="96">
        <v>0</v>
      </c>
      <c r="AV43" s="96">
        <v>0</v>
      </c>
      <c r="AW43" s="104">
        <v>395796000</v>
      </c>
      <c r="AX43" s="96">
        <v>727000</v>
      </c>
      <c r="AY43" s="96">
        <v>-553000</v>
      </c>
      <c r="AZ43" s="96">
        <v>-602000</v>
      </c>
      <c r="BA43" s="96">
        <v>0</v>
      </c>
      <c r="BB43" s="96">
        <v>-7126000</v>
      </c>
      <c r="BC43" s="104">
        <v>-7554000</v>
      </c>
      <c r="BD43" s="104">
        <v>388242000</v>
      </c>
      <c r="BE43" s="96">
        <v>180583000</v>
      </c>
      <c r="BF43" s="96">
        <v>0</v>
      </c>
      <c r="BG43" s="96">
        <v>20621000</v>
      </c>
      <c r="BH43" s="96">
        <v>4378000</v>
      </c>
      <c r="BI43" s="96">
        <v>1313000</v>
      </c>
      <c r="BJ43" s="96">
        <v>180689000</v>
      </c>
      <c r="BK43" s="96">
        <v>0</v>
      </c>
      <c r="BL43" s="104">
        <v>387584000</v>
      </c>
      <c r="BM43" s="104">
        <v>658000</v>
      </c>
      <c r="BN43" s="96">
        <v>-8168000</v>
      </c>
      <c r="BO43" s="96">
        <v>0</v>
      </c>
      <c r="BP43" s="96">
        <v>-7510000</v>
      </c>
      <c r="BQ43" s="96">
        <v>0</v>
      </c>
      <c r="BR43" s="96">
        <v>0</v>
      </c>
      <c r="BS43" s="104">
        <v>-7510000</v>
      </c>
      <c r="BT43" s="105">
        <v>2.1000000000000001E-2</v>
      </c>
      <c r="BU43" s="105">
        <v>-1.9E-2</v>
      </c>
      <c r="BV43" s="105">
        <v>2E-3</v>
      </c>
      <c r="BW43" s="106">
        <v>0</v>
      </c>
      <c r="BX43" s="107">
        <v>0</v>
      </c>
      <c r="BY43" s="107">
        <v>0</v>
      </c>
      <c r="BZ43" s="108">
        <v>5.9</v>
      </c>
      <c r="CA43" s="109">
        <v>0</v>
      </c>
      <c r="CB43" s="109">
        <v>0</v>
      </c>
      <c r="CC43" s="110">
        <v>0</v>
      </c>
      <c r="CD43" s="111">
        <v>0</v>
      </c>
      <c r="CE43" s="109">
        <v>0</v>
      </c>
      <c r="CF43" s="104">
        <v>-7065000</v>
      </c>
      <c r="CG43" s="105">
        <v>-0.109</v>
      </c>
      <c r="CH43" s="105">
        <v>0.01</v>
      </c>
      <c r="CI43" s="105">
        <v>-0.1</v>
      </c>
    </row>
    <row r="44" spans="1:87" s="222" customFormat="1" ht="22.8" x14ac:dyDescent="0.3">
      <c r="A44" s="14">
        <v>3106</v>
      </c>
      <c r="B44" s="14" t="s">
        <v>84</v>
      </c>
      <c r="C44" s="14" t="s">
        <v>75</v>
      </c>
      <c r="D44" s="14">
        <v>3106</v>
      </c>
      <c r="E44" s="14">
        <v>2025</v>
      </c>
      <c r="F44" s="14" t="s">
        <v>275</v>
      </c>
      <c r="G44" s="14">
        <v>2</v>
      </c>
      <c r="H44" s="14">
        <v>6</v>
      </c>
      <c r="I44" s="14" t="s">
        <v>709</v>
      </c>
      <c r="J44" s="96">
        <v>223347562</v>
      </c>
      <c r="K44" s="96">
        <v>0</v>
      </c>
      <c r="L44" s="96">
        <v>0</v>
      </c>
      <c r="M44" s="96">
        <v>73627911</v>
      </c>
      <c r="N44" s="96">
        <v>0</v>
      </c>
      <c r="O44" s="96">
        <v>0</v>
      </c>
      <c r="P44" s="96">
        <v>40666607</v>
      </c>
      <c r="Q44" s="104">
        <v>337642080</v>
      </c>
      <c r="R44" s="96">
        <v>469627219</v>
      </c>
      <c r="S44" s="96">
        <v>0</v>
      </c>
      <c r="T44" s="96">
        <v>0</v>
      </c>
      <c r="U44" s="96">
        <v>0</v>
      </c>
      <c r="V44" s="96">
        <v>594037855</v>
      </c>
      <c r="W44" s="96">
        <v>385557790</v>
      </c>
      <c r="X44" s="104">
        <v>208480065</v>
      </c>
      <c r="Y44" s="96">
        <v>19304470</v>
      </c>
      <c r="Z44" s="104">
        <v>697411754</v>
      </c>
      <c r="AA44" s="104">
        <v>1035053834</v>
      </c>
      <c r="AB44" s="96">
        <v>4665000</v>
      </c>
      <c r="AC44" s="96">
        <v>67230193</v>
      </c>
      <c r="AD44" s="96">
        <v>0</v>
      </c>
      <c r="AE44" s="96">
        <v>99756561</v>
      </c>
      <c r="AF44" s="104">
        <v>171651754</v>
      </c>
      <c r="AG44" s="96">
        <v>35076200</v>
      </c>
      <c r="AH44" s="96">
        <v>0</v>
      </c>
      <c r="AI44" s="96">
        <v>55725537</v>
      </c>
      <c r="AJ44" s="104">
        <v>90801737</v>
      </c>
      <c r="AK44" s="104">
        <v>262453491</v>
      </c>
      <c r="AL44" s="96">
        <v>719206931</v>
      </c>
      <c r="AM44" s="96">
        <v>45251968</v>
      </c>
      <c r="AN44" s="96">
        <v>8141444</v>
      </c>
      <c r="AO44" s="104">
        <v>772600343</v>
      </c>
      <c r="AP44" s="104">
        <v>1035053834</v>
      </c>
      <c r="AQ44" s="96">
        <v>366321283</v>
      </c>
      <c r="AR44" s="96">
        <v>3112332</v>
      </c>
      <c r="AS44" s="96">
        <v>105734626</v>
      </c>
      <c r="AT44" s="96">
        <v>0</v>
      </c>
      <c r="AU44" s="96">
        <v>0</v>
      </c>
      <c r="AV44" s="96">
        <v>87527</v>
      </c>
      <c r="AW44" s="104">
        <v>475255768</v>
      </c>
      <c r="AX44" s="96">
        <v>24166104</v>
      </c>
      <c r="AY44" s="96">
        <v>0</v>
      </c>
      <c r="AZ44" s="96">
        <v>-29082189</v>
      </c>
      <c r="BA44" s="96">
        <v>0</v>
      </c>
      <c r="BB44" s="96">
        <v>11274</v>
      </c>
      <c r="BC44" s="104">
        <v>-4904811</v>
      </c>
      <c r="BD44" s="104">
        <v>470350957</v>
      </c>
      <c r="BE44" s="96">
        <v>246763196</v>
      </c>
      <c r="BF44" s="96">
        <v>0</v>
      </c>
      <c r="BG44" s="96">
        <v>10756461</v>
      </c>
      <c r="BH44" s="96">
        <v>192904</v>
      </c>
      <c r="BI44" s="96">
        <v>17634080</v>
      </c>
      <c r="BJ44" s="96">
        <v>173466988</v>
      </c>
      <c r="BK44" s="96">
        <v>0</v>
      </c>
      <c r="BL44" s="104">
        <v>448813629</v>
      </c>
      <c r="BM44" s="104">
        <v>21537328</v>
      </c>
      <c r="BN44" s="96">
        <v>0</v>
      </c>
      <c r="BO44" s="96">
        <v>25000</v>
      </c>
      <c r="BP44" s="96">
        <v>21562328</v>
      </c>
      <c r="BQ44" s="96">
        <v>0</v>
      </c>
      <c r="BR44" s="96">
        <v>0</v>
      </c>
      <c r="BS44" s="104">
        <v>21562328</v>
      </c>
      <c r="BT44" s="105">
        <v>5.6000000000000001E-2</v>
      </c>
      <c r="BU44" s="105">
        <v>-0.01</v>
      </c>
      <c r="BV44" s="105">
        <v>4.5999999999999999E-2</v>
      </c>
      <c r="BW44" s="106">
        <v>2</v>
      </c>
      <c r="BX44" s="107">
        <v>37</v>
      </c>
      <c r="BY44" s="107">
        <v>44</v>
      </c>
      <c r="BZ44" s="108">
        <v>12.7</v>
      </c>
      <c r="CA44" s="109">
        <v>0.29699999999999999</v>
      </c>
      <c r="CB44" s="109">
        <v>0.746</v>
      </c>
      <c r="CC44" s="110">
        <v>36</v>
      </c>
      <c r="CD44" s="111">
        <v>93</v>
      </c>
      <c r="CE44" s="109">
        <v>4.7E-2</v>
      </c>
      <c r="CF44" s="104">
        <v>46345000</v>
      </c>
      <c r="CG44" s="105">
        <v>0.156</v>
      </c>
      <c r="CH44" s="105">
        <v>-1.7000000000000001E-2</v>
      </c>
      <c r="CI44" s="105">
        <v>0.13900000000000001</v>
      </c>
    </row>
    <row r="45" spans="1:87" s="222" customFormat="1" ht="22.8" x14ac:dyDescent="0.3">
      <c r="A45" s="14">
        <v>3107</v>
      </c>
      <c r="B45" s="14" t="s">
        <v>118</v>
      </c>
      <c r="C45" s="14" t="s">
        <v>77</v>
      </c>
      <c r="D45" s="14">
        <v>14287</v>
      </c>
      <c r="E45" s="14">
        <v>2025</v>
      </c>
      <c r="F45" s="14" t="s">
        <v>275</v>
      </c>
      <c r="G45" s="14">
        <v>2</v>
      </c>
      <c r="H45" s="14">
        <v>6</v>
      </c>
      <c r="I45" s="14" t="s">
        <v>709</v>
      </c>
      <c r="J45" s="96">
        <v>28747861</v>
      </c>
      <c r="K45" s="96">
        <v>0</v>
      </c>
      <c r="L45" s="96">
        <v>42959000</v>
      </c>
      <c r="M45" s="96">
        <v>213067790</v>
      </c>
      <c r="N45" s="96">
        <v>187802272</v>
      </c>
      <c r="O45" s="96">
        <v>5715291</v>
      </c>
      <c r="P45" s="96">
        <v>355729091</v>
      </c>
      <c r="Q45" s="104">
        <v>834021305</v>
      </c>
      <c r="R45" s="96">
        <v>962190179</v>
      </c>
      <c r="S45" s="96">
        <v>16721749</v>
      </c>
      <c r="T45" s="96">
        <v>0</v>
      </c>
      <c r="U45" s="96">
        <v>0</v>
      </c>
      <c r="V45" s="96">
        <v>2463569049</v>
      </c>
      <c r="W45" s="96">
        <v>1429574751</v>
      </c>
      <c r="X45" s="104">
        <v>1033994298</v>
      </c>
      <c r="Y45" s="96">
        <v>134128992</v>
      </c>
      <c r="Z45" s="104">
        <v>2147035218</v>
      </c>
      <c r="AA45" s="104">
        <v>2981056523</v>
      </c>
      <c r="AB45" s="96">
        <v>8512102</v>
      </c>
      <c r="AC45" s="96">
        <v>0</v>
      </c>
      <c r="AD45" s="96">
        <v>145079252</v>
      </c>
      <c r="AE45" s="96">
        <v>361193415</v>
      </c>
      <c r="AF45" s="104">
        <v>514784769</v>
      </c>
      <c r="AG45" s="96">
        <v>881290968</v>
      </c>
      <c r="AH45" s="96">
        <v>0</v>
      </c>
      <c r="AI45" s="96">
        <v>189248780</v>
      </c>
      <c r="AJ45" s="104">
        <v>1070539748</v>
      </c>
      <c r="AK45" s="104">
        <v>1585324517</v>
      </c>
      <c r="AL45" s="96">
        <v>986581044</v>
      </c>
      <c r="AM45" s="96">
        <v>0</v>
      </c>
      <c r="AN45" s="96">
        <v>409150962</v>
      </c>
      <c r="AO45" s="104">
        <v>1395732006</v>
      </c>
      <c r="AP45" s="104">
        <v>2981056523</v>
      </c>
      <c r="AQ45" s="96">
        <v>835265313</v>
      </c>
      <c r="AR45" s="96">
        <v>0</v>
      </c>
      <c r="AS45" s="96">
        <v>573478512</v>
      </c>
      <c r="AT45" s="96">
        <v>0</v>
      </c>
      <c r="AU45" s="96">
        <v>0</v>
      </c>
      <c r="AV45" s="96">
        <v>16480236</v>
      </c>
      <c r="AW45" s="104">
        <v>1425224061</v>
      </c>
      <c r="AX45" s="96">
        <v>7210996</v>
      </c>
      <c r="AY45" s="96">
        <v>4996244</v>
      </c>
      <c r="AZ45" s="96">
        <v>-4574592</v>
      </c>
      <c r="BA45" s="96">
        <v>930900</v>
      </c>
      <c r="BB45" s="96">
        <v>0</v>
      </c>
      <c r="BC45" s="104">
        <v>8563548</v>
      </c>
      <c r="BD45" s="104">
        <v>1433787609</v>
      </c>
      <c r="BE45" s="96">
        <v>483614788</v>
      </c>
      <c r="BF45" s="96">
        <v>0</v>
      </c>
      <c r="BG45" s="96">
        <v>56465277</v>
      </c>
      <c r="BH45" s="96">
        <v>12384284</v>
      </c>
      <c r="BI45" s="96">
        <v>52538625</v>
      </c>
      <c r="BJ45" s="96">
        <v>855594925</v>
      </c>
      <c r="BK45" s="96">
        <v>0</v>
      </c>
      <c r="BL45" s="104">
        <v>1460597899</v>
      </c>
      <c r="BM45" s="104">
        <v>-26810290</v>
      </c>
      <c r="BN45" s="96">
        <v>-8238449</v>
      </c>
      <c r="BO45" s="96">
        <v>0</v>
      </c>
      <c r="BP45" s="96">
        <v>-35048739</v>
      </c>
      <c r="BQ45" s="96">
        <v>0</v>
      </c>
      <c r="BR45" s="96">
        <v>0</v>
      </c>
      <c r="BS45" s="104">
        <v>-35048739</v>
      </c>
      <c r="BT45" s="105">
        <v>-2.5000000000000001E-2</v>
      </c>
      <c r="BU45" s="105">
        <v>6.0000000000000001E-3</v>
      </c>
      <c r="BV45" s="105">
        <v>-1.9E-2</v>
      </c>
      <c r="BW45" s="106">
        <v>1.6</v>
      </c>
      <c r="BX45" s="107">
        <v>47</v>
      </c>
      <c r="BY45" s="107">
        <v>67</v>
      </c>
      <c r="BZ45" s="108">
        <v>2.2000000000000002</v>
      </c>
      <c r="CA45" s="109">
        <v>2.5000000000000001E-2</v>
      </c>
      <c r="CB45" s="109">
        <v>0.46800000000000003</v>
      </c>
      <c r="CC45" s="110">
        <v>25</v>
      </c>
      <c r="CD45" s="111">
        <v>4</v>
      </c>
      <c r="CE45" s="109">
        <v>0.47199999999999998</v>
      </c>
      <c r="CF45" s="104">
        <v>-753000</v>
      </c>
      <c r="CG45" s="105">
        <v>-0.106</v>
      </c>
      <c r="CH45" s="105">
        <v>0.09</v>
      </c>
      <c r="CI45" s="105">
        <v>-1.6E-2</v>
      </c>
    </row>
    <row r="46" spans="1:87" s="222" customFormat="1" ht="22.8" x14ac:dyDescent="0.3">
      <c r="A46" s="57">
        <v>3108</v>
      </c>
      <c r="B46" s="57" t="s">
        <v>121</v>
      </c>
      <c r="C46" s="57" t="s">
        <v>77</v>
      </c>
      <c r="D46" s="57">
        <v>13159</v>
      </c>
      <c r="E46" s="57">
        <v>2025</v>
      </c>
      <c r="F46" s="57" t="s">
        <v>276</v>
      </c>
      <c r="G46" s="57">
        <v>3</v>
      </c>
      <c r="H46" s="57">
        <v>9</v>
      </c>
      <c r="I46" s="57" t="s">
        <v>711</v>
      </c>
      <c r="J46" s="100">
        <v>176328043</v>
      </c>
      <c r="K46" s="100">
        <v>0</v>
      </c>
      <c r="L46" s="100">
        <v>0</v>
      </c>
      <c r="M46" s="100">
        <v>41515606</v>
      </c>
      <c r="N46" s="100">
        <v>2663323</v>
      </c>
      <c r="O46" s="100">
        <v>147370227</v>
      </c>
      <c r="P46" s="100">
        <v>32968833</v>
      </c>
      <c r="Q46" s="104">
        <v>400846032</v>
      </c>
      <c r="R46" s="100">
        <v>6410442</v>
      </c>
      <c r="S46" s="100">
        <v>0</v>
      </c>
      <c r="T46" s="100">
        <v>0</v>
      </c>
      <c r="U46" s="100">
        <v>0</v>
      </c>
      <c r="V46" s="100">
        <v>852724974</v>
      </c>
      <c r="W46" s="100">
        <v>630463344</v>
      </c>
      <c r="X46" s="104">
        <v>222261630</v>
      </c>
      <c r="Y46" s="100">
        <v>86215436</v>
      </c>
      <c r="Z46" s="104">
        <v>314887508</v>
      </c>
      <c r="AA46" s="104">
        <v>715733540</v>
      </c>
      <c r="AB46" s="100">
        <v>11636293</v>
      </c>
      <c r="AC46" s="100">
        <v>13998932</v>
      </c>
      <c r="AD46" s="100">
        <v>0</v>
      </c>
      <c r="AE46" s="100">
        <v>119221332</v>
      </c>
      <c r="AF46" s="104">
        <v>144856557</v>
      </c>
      <c r="AG46" s="100">
        <v>50883823</v>
      </c>
      <c r="AH46" s="100">
        <v>0</v>
      </c>
      <c r="AI46" s="100">
        <v>231267788</v>
      </c>
      <c r="AJ46" s="104">
        <v>282151611</v>
      </c>
      <c r="AK46" s="104">
        <v>427008168</v>
      </c>
      <c r="AL46" s="100">
        <v>287579754</v>
      </c>
      <c r="AM46" s="100">
        <v>0</v>
      </c>
      <c r="AN46" s="100">
        <v>1145618</v>
      </c>
      <c r="AO46" s="104">
        <v>288725372</v>
      </c>
      <c r="AP46" s="104">
        <v>715733540</v>
      </c>
      <c r="AQ46" s="100">
        <v>347557484</v>
      </c>
      <c r="AR46" s="100">
        <v>78173849</v>
      </c>
      <c r="AS46" s="100">
        <v>361563510</v>
      </c>
      <c r="AT46" s="100">
        <v>0</v>
      </c>
      <c r="AU46" s="100">
        <v>0</v>
      </c>
      <c r="AV46" s="100">
        <v>0</v>
      </c>
      <c r="AW46" s="104">
        <v>787294843</v>
      </c>
      <c r="AX46" s="100">
        <v>10542126</v>
      </c>
      <c r="AY46" s="100">
        <v>32895523</v>
      </c>
      <c r="AZ46" s="100"/>
      <c r="BA46" s="100">
        <v>6503375</v>
      </c>
      <c r="BB46" s="100">
        <v>0</v>
      </c>
      <c r="BC46" s="104">
        <v>49941024</v>
      </c>
      <c r="BD46" s="104">
        <v>837235867</v>
      </c>
      <c r="BE46" s="100">
        <v>503162407</v>
      </c>
      <c r="BF46" s="100">
        <v>5659884</v>
      </c>
      <c r="BG46" s="100">
        <v>31849852</v>
      </c>
      <c r="BH46" s="100">
        <v>1734404</v>
      </c>
      <c r="BI46" s="100">
        <v>2489394</v>
      </c>
      <c r="BJ46" s="100">
        <v>276969781</v>
      </c>
      <c r="BK46" s="100">
        <v>0</v>
      </c>
      <c r="BL46" s="104">
        <v>821865722</v>
      </c>
      <c r="BM46" s="104">
        <v>15370145</v>
      </c>
      <c r="BN46" s="100">
        <v>1248521</v>
      </c>
      <c r="BO46" s="100">
        <v>0</v>
      </c>
      <c r="BP46" s="100">
        <v>16618666</v>
      </c>
      <c r="BQ46" s="100">
        <v>0</v>
      </c>
      <c r="BR46" s="100">
        <v>0</v>
      </c>
      <c r="BS46" s="104">
        <v>16618666</v>
      </c>
      <c r="BT46" s="109">
        <v>-4.1000000000000002E-2</v>
      </c>
      <c r="BU46" s="109">
        <v>0.06</v>
      </c>
      <c r="BV46" s="109">
        <v>1.7999999999999999E-2</v>
      </c>
      <c r="BW46" s="106">
        <v>2.8</v>
      </c>
      <c r="BX46" s="107">
        <v>33</v>
      </c>
      <c r="BY46" s="107">
        <v>45</v>
      </c>
      <c r="BZ46" s="108">
        <v>3.7</v>
      </c>
      <c r="CA46" s="109">
        <v>0.24099999999999999</v>
      </c>
      <c r="CB46" s="109">
        <v>0.40300000000000002</v>
      </c>
      <c r="CC46" s="110">
        <v>20</v>
      </c>
      <c r="CD46" s="110"/>
      <c r="CE46" s="110"/>
      <c r="CF46" s="104">
        <v>23503000</v>
      </c>
      <c r="CG46" s="105">
        <v>0.13600000000000001</v>
      </c>
      <c r="CH46" s="105">
        <v>-2.1000000000000001E-2</v>
      </c>
      <c r="CI46" s="105">
        <v>0.11600000000000001</v>
      </c>
    </row>
    <row r="47" spans="1:87" s="222" customFormat="1" ht="22.8" x14ac:dyDescent="0.3">
      <c r="A47" s="14">
        <v>3109</v>
      </c>
      <c r="B47" s="14" t="s">
        <v>122</v>
      </c>
      <c r="C47" s="14" t="s">
        <v>75</v>
      </c>
      <c r="D47" s="14">
        <v>3109</v>
      </c>
      <c r="E47" s="14">
        <v>2025</v>
      </c>
      <c r="F47" s="14" t="s">
        <v>275</v>
      </c>
      <c r="G47" s="14">
        <v>2</v>
      </c>
      <c r="H47" s="14">
        <v>6</v>
      </c>
      <c r="I47" s="14" t="s">
        <v>709</v>
      </c>
      <c r="J47" s="96">
        <v>39785935.840000004</v>
      </c>
      <c r="K47" s="96">
        <v>66874733.140000001</v>
      </c>
      <c r="L47" s="96">
        <v>6429465.2300000004</v>
      </c>
      <c r="M47" s="96">
        <v>105573358.65000001</v>
      </c>
      <c r="N47" s="96">
        <v>0</v>
      </c>
      <c r="O47" s="96">
        <v>0</v>
      </c>
      <c r="P47" s="96">
        <v>50964384</v>
      </c>
      <c r="Q47" s="104">
        <v>269627876.86000001</v>
      </c>
      <c r="R47" s="96">
        <v>71740081</v>
      </c>
      <c r="S47" s="96">
        <v>10983600</v>
      </c>
      <c r="T47" s="96">
        <v>0</v>
      </c>
      <c r="U47" s="96">
        <v>0</v>
      </c>
      <c r="V47" s="96">
        <v>1085125059</v>
      </c>
      <c r="W47" s="96">
        <v>601641130</v>
      </c>
      <c r="X47" s="104">
        <v>483483929</v>
      </c>
      <c r="Y47" s="96">
        <v>550447294</v>
      </c>
      <c r="Z47" s="104">
        <v>1116654904</v>
      </c>
      <c r="AA47" s="104">
        <v>1386282780.8599999</v>
      </c>
      <c r="AB47" s="96">
        <v>14662308</v>
      </c>
      <c r="AC47" s="96">
        <v>14300122</v>
      </c>
      <c r="AD47" s="96">
        <v>0</v>
      </c>
      <c r="AE47" s="96">
        <v>179676943</v>
      </c>
      <c r="AF47" s="104">
        <v>208639373</v>
      </c>
      <c r="AG47" s="96">
        <v>114651915</v>
      </c>
      <c r="AH47" s="96">
        <v>0</v>
      </c>
      <c r="AI47" s="96">
        <v>67626755</v>
      </c>
      <c r="AJ47" s="104">
        <v>182278670</v>
      </c>
      <c r="AK47" s="104">
        <v>390918043</v>
      </c>
      <c r="AL47" s="96">
        <v>902037317</v>
      </c>
      <c r="AM47" s="96">
        <v>93327421</v>
      </c>
      <c r="AN47" s="96">
        <v>0</v>
      </c>
      <c r="AO47" s="104">
        <v>995364738</v>
      </c>
      <c r="AP47" s="104">
        <v>1386282781</v>
      </c>
      <c r="AQ47" s="96">
        <v>552122859</v>
      </c>
      <c r="AR47" s="96">
        <v>0</v>
      </c>
      <c r="AS47" s="96">
        <v>42817408</v>
      </c>
      <c r="AT47" s="96">
        <v>0</v>
      </c>
      <c r="AU47" s="96">
        <v>0</v>
      </c>
      <c r="AV47" s="96">
        <v>696759</v>
      </c>
      <c r="AW47" s="104">
        <v>595637026</v>
      </c>
      <c r="AX47" s="96">
        <v>6532986</v>
      </c>
      <c r="AY47" s="96">
        <v>2793244</v>
      </c>
      <c r="AZ47" s="96"/>
      <c r="BA47" s="96">
        <v>-9033873</v>
      </c>
      <c r="BB47" s="96">
        <v>0</v>
      </c>
      <c r="BC47" s="104">
        <v>292357</v>
      </c>
      <c r="BD47" s="104">
        <v>595929383</v>
      </c>
      <c r="BE47" s="96">
        <v>361386875</v>
      </c>
      <c r="BF47" s="96">
        <v>0</v>
      </c>
      <c r="BG47" s="96">
        <v>21729450</v>
      </c>
      <c r="BH47" s="96">
        <v>450634</v>
      </c>
      <c r="BI47" s="96">
        <v>10715016</v>
      </c>
      <c r="BJ47" s="96">
        <v>201783141</v>
      </c>
      <c r="BK47" s="96">
        <v>0</v>
      </c>
      <c r="BL47" s="104">
        <v>596065116</v>
      </c>
      <c r="BM47" s="104">
        <v>-135733</v>
      </c>
      <c r="BN47" s="96">
        <v>-180000</v>
      </c>
      <c r="BO47" s="96">
        <v>-189405</v>
      </c>
      <c r="BP47" s="96">
        <v>-505138</v>
      </c>
      <c r="BQ47" s="96">
        <v>0</v>
      </c>
      <c r="BR47" s="96">
        <v>0</v>
      </c>
      <c r="BS47" s="104">
        <v>-505138</v>
      </c>
      <c r="BT47" s="109">
        <v>-1E-3</v>
      </c>
      <c r="BU47" s="109">
        <v>0</v>
      </c>
      <c r="BV47" s="109">
        <v>0</v>
      </c>
      <c r="BW47" s="106">
        <v>1.3</v>
      </c>
      <c r="BX47" s="107">
        <v>35</v>
      </c>
      <c r="BY47" s="107">
        <v>62</v>
      </c>
      <c r="BZ47" s="108">
        <v>1.5</v>
      </c>
      <c r="CA47" s="109">
        <v>6.7000000000000004E-2</v>
      </c>
      <c r="CB47" s="109">
        <v>0.71799999999999997</v>
      </c>
      <c r="CC47" s="110">
        <v>28</v>
      </c>
      <c r="CD47" s="110"/>
      <c r="CE47" s="110"/>
      <c r="CF47" s="104">
        <v>4238000</v>
      </c>
      <c r="CG47" s="105">
        <v>0.02</v>
      </c>
      <c r="CH47" s="105">
        <v>0</v>
      </c>
      <c r="CI47" s="105">
        <v>0.02</v>
      </c>
    </row>
    <row r="48" spans="1:87" s="222" customFormat="1" ht="22.8" x14ac:dyDescent="0.3">
      <c r="A48" s="14">
        <v>3110</v>
      </c>
      <c r="B48" s="14" t="s">
        <v>508</v>
      </c>
      <c r="C48" s="14" t="s">
        <v>77</v>
      </c>
      <c r="D48" s="14">
        <v>3888</v>
      </c>
      <c r="E48" s="14">
        <v>2025</v>
      </c>
      <c r="F48" s="14" t="s">
        <v>630</v>
      </c>
      <c r="G48" s="14">
        <v>1</v>
      </c>
      <c r="H48" s="14">
        <v>3</v>
      </c>
      <c r="I48" s="14" t="s">
        <v>710</v>
      </c>
      <c r="J48" s="96">
        <v>3280812</v>
      </c>
      <c r="K48" s="96">
        <v>0</v>
      </c>
      <c r="L48" s="96">
        <v>0</v>
      </c>
      <c r="M48" s="96">
        <v>32813557</v>
      </c>
      <c r="N48" s="96">
        <v>0</v>
      </c>
      <c r="O48" s="96">
        <v>-117366</v>
      </c>
      <c r="P48" s="96">
        <v>59152375</v>
      </c>
      <c r="Q48" s="104">
        <v>95129378</v>
      </c>
      <c r="R48" s="96">
        <v>0</v>
      </c>
      <c r="S48" s="96">
        <v>0</v>
      </c>
      <c r="T48" s="96">
        <v>0</v>
      </c>
      <c r="U48" s="96">
        <v>2040875</v>
      </c>
      <c r="V48" s="96">
        <v>120573736</v>
      </c>
      <c r="W48" s="96">
        <v>73488113</v>
      </c>
      <c r="X48" s="104">
        <v>47085623</v>
      </c>
      <c r="Y48" s="96">
        <v>150036323</v>
      </c>
      <c r="Z48" s="104">
        <v>199162821</v>
      </c>
      <c r="AA48" s="104">
        <v>294292199</v>
      </c>
      <c r="AB48" s="96">
        <v>133485</v>
      </c>
      <c r="AC48" s="96">
        <v>0</v>
      </c>
      <c r="AD48" s="96">
        <v>0</v>
      </c>
      <c r="AE48" s="96">
        <v>62308745</v>
      </c>
      <c r="AF48" s="104">
        <v>62442230</v>
      </c>
      <c r="AG48" s="96">
        <v>0</v>
      </c>
      <c r="AH48" s="96">
        <v>370118494</v>
      </c>
      <c r="AI48" s="96">
        <v>1511168</v>
      </c>
      <c r="AJ48" s="104">
        <v>371629662</v>
      </c>
      <c r="AK48" s="104">
        <v>434071892</v>
      </c>
      <c r="AL48" s="96">
        <v>-139779693</v>
      </c>
      <c r="AM48" s="96">
        <v>0</v>
      </c>
      <c r="AN48" s="96">
        <v>0</v>
      </c>
      <c r="AO48" s="104">
        <v>-139779693</v>
      </c>
      <c r="AP48" s="104">
        <v>294292199</v>
      </c>
      <c r="AQ48" s="96">
        <v>48305528</v>
      </c>
      <c r="AR48" s="96">
        <v>0</v>
      </c>
      <c r="AS48" s="96">
        <v>683169</v>
      </c>
      <c r="AT48" s="96">
        <v>0</v>
      </c>
      <c r="AU48" s="96">
        <v>0</v>
      </c>
      <c r="AV48" s="96">
        <v>0</v>
      </c>
      <c r="AW48" s="104">
        <v>48988697</v>
      </c>
      <c r="AX48" s="96">
        <v>3811</v>
      </c>
      <c r="AY48" s="96">
        <v>0</v>
      </c>
      <c r="AZ48" s="96">
        <v>0</v>
      </c>
      <c r="BA48" s="96">
        <v>221167</v>
      </c>
      <c r="BB48" s="96">
        <v>0</v>
      </c>
      <c r="BC48" s="104">
        <v>224978</v>
      </c>
      <c r="BD48" s="104">
        <v>49213675</v>
      </c>
      <c r="BE48" s="96">
        <v>26500493</v>
      </c>
      <c r="BF48" s="96">
        <v>0</v>
      </c>
      <c r="BG48" s="96">
        <v>2274546</v>
      </c>
      <c r="BH48" s="96">
        <v>700032</v>
      </c>
      <c r="BI48" s="96">
        <v>457263</v>
      </c>
      <c r="BJ48" s="96">
        <v>22923922</v>
      </c>
      <c r="BK48" s="96">
        <v>0</v>
      </c>
      <c r="BL48" s="104">
        <v>52856256</v>
      </c>
      <c r="BM48" s="104">
        <v>-3642581</v>
      </c>
      <c r="BN48" s="96">
        <v>0</v>
      </c>
      <c r="BO48" s="96">
        <v>0</v>
      </c>
      <c r="BP48" s="96">
        <v>-3642581</v>
      </c>
      <c r="BQ48" s="96">
        <v>0</v>
      </c>
      <c r="BR48" s="96">
        <v>0</v>
      </c>
      <c r="BS48" s="104">
        <v>-3642581</v>
      </c>
      <c r="BT48" s="105">
        <v>-7.9000000000000001E-2</v>
      </c>
      <c r="BU48" s="105">
        <v>5.0000000000000001E-3</v>
      </c>
      <c r="BV48" s="105">
        <v>-7.3999999999999996E-2</v>
      </c>
      <c r="BW48" s="106">
        <v>1.5</v>
      </c>
      <c r="BX48" s="107">
        <v>62</v>
      </c>
      <c r="BY48" s="107">
        <v>113</v>
      </c>
      <c r="BZ48" s="108">
        <v>-0.8</v>
      </c>
      <c r="CA48" s="109">
        <v>-2.1999999999999999E-2</v>
      </c>
      <c r="CB48" s="109">
        <v>-0.47499999999999998</v>
      </c>
      <c r="CC48" s="110">
        <v>32</v>
      </c>
      <c r="CD48" s="111">
        <v>6</v>
      </c>
      <c r="CE48" s="109">
        <v>0</v>
      </c>
      <c r="CF48" s="104">
        <v>-11581000</v>
      </c>
      <c r="CG48" s="105">
        <v>-0.16500000000000001</v>
      </c>
      <c r="CH48" s="105">
        <v>-2E-3</v>
      </c>
      <c r="CI48" s="105">
        <v>-0.16700000000000001</v>
      </c>
    </row>
    <row r="49" spans="1:87" s="222" customFormat="1" ht="22.8" x14ac:dyDescent="0.3">
      <c r="A49" s="14">
        <v>3111</v>
      </c>
      <c r="B49" s="14" t="s">
        <v>192</v>
      </c>
      <c r="C49" s="14" t="s">
        <v>77</v>
      </c>
      <c r="D49" s="14">
        <v>12775</v>
      </c>
      <c r="E49" s="14">
        <v>2025</v>
      </c>
      <c r="F49" s="14" t="s">
        <v>275</v>
      </c>
      <c r="G49" s="14">
        <v>2</v>
      </c>
      <c r="H49" s="14">
        <v>6</v>
      </c>
      <c r="I49" s="14" t="s">
        <v>709</v>
      </c>
      <c r="J49" s="96">
        <v>3881000</v>
      </c>
      <c r="K49" s="96">
        <v>0</v>
      </c>
      <c r="L49" s="96">
        <v>0</v>
      </c>
      <c r="M49" s="96">
        <v>34192000</v>
      </c>
      <c r="N49" s="96">
        <v>19239000</v>
      </c>
      <c r="O49" s="96">
        <v>0</v>
      </c>
      <c r="P49" s="96">
        <v>10383000</v>
      </c>
      <c r="Q49" s="104">
        <v>67695000</v>
      </c>
      <c r="R49" s="96">
        <v>23117000</v>
      </c>
      <c r="S49" s="96">
        <v>0</v>
      </c>
      <c r="T49" s="96">
        <v>0</v>
      </c>
      <c r="U49" s="96">
        <v>788000</v>
      </c>
      <c r="V49" s="96">
        <v>549711000</v>
      </c>
      <c r="W49" s="96">
        <v>436313000</v>
      </c>
      <c r="X49" s="104">
        <v>113398000</v>
      </c>
      <c r="Y49" s="96">
        <v>12874000</v>
      </c>
      <c r="Z49" s="104">
        <v>150177000</v>
      </c>
      <c r="AA49" s="104">
        <v>217872000</v>
      </c>
      <c r="AB49" s="96">
        <v>19841000</v>
      </c>
      <c r="AC49" s="96">
        <v>-4344000</v>
      </c>
      <c r="AD49" s="96">
        <v>25954000</v>
      </c>
      <c r="AE49" s="96">
        <v>40810000</v>
      </c>
      <c r="AF49" s="104">
        <v>82261000</v>
      </c>
      <c r="AG49" s="96">
        <v>6258000</v>
      </c>
      <c r="AH49" s="96">
        <v>0</v>
      </c>
      <c r="AI49" s="96">
        <v>6417000</v>
      </c>
      <c r="AJ49" s="104">
        <v>12675000</v>
      </c>
      <c r="AK49" s="104">
        <v>94936000</v>
      </c>
      <c r="AL49" s="96">
        <v>99819000</v>
      </c>
      <c r="AM49" s="96">
        <v>6606000</v>
      </c>
      <c r="AN49" s="96">
        <v>16511000</v>
      </c>
      <c r="AO49" s="104">
        <v>122936000</v>
      </c>
      <c r="AP49" s="104">
        <v>217872000</v>
      </c>
      <c r="AQ49" s="96">
        <v>136941000</v>
      </c>
      <c r="AR49" s="96">
        <v>0</v>
      </c>
      <c r="AS49" s="96">
        <v>7287000</v>
      </c>
      <c r="AT49" s="96">
        <v>0</v>
      </c>
      <c r="AU49" s="96">
        <v>0</v>
      </c>
      <c r="AV49" s="96">
        <v>317000</v>
      </c>
      <c r="AW49" s="104">
        <v>144545000</v>
      </c>
      <c r="AX49" s="96">
        <v>0</v>
      </c>
      <c r="AY49" s="96">
        <v>-106000</v>
      </c>
      <c r="AZ49" s="96">
        <v>13000</v>
      </c>
      <c r="BA49" s="96">
        <v>0</v>
      </c>
      <c r="BB49" s="96">
        <v>0</v>
      </c>
      <c r="BC49" s="104">
        <v>-93000</v>
      </c>
      <c r="BD49" s="104">
        <v>144452000</v>
      </c>
      <c r="BE49" s="96">
        <v>81160000</v>
      </c>
      <c r="BF49" s="96">
        <v>0</v>
      </c>
      <c r="BG49" s="96">
        <v>7787000</v>
      </c>
      <c r="BH49" s="96">
        <v>3752000</v>
      </c>
      <c r="BI49" s="96">
        <v>4337000</v>
      </c>
      <c r="BJ49" s="96">
        <v>51397000</v>
      </c>
      <c r="BK49" s="96">
        <v>0</v>
      </c>
      <c r="BL49" s="104">
        <v>148433000</v>
      </c>
      <c r="BM49" s="104">
        <v>-3981000</v>
      </c>
      <c r="BN49" s="96">
        <v>1479000</v>
      </c>
      <c r="BO49" s="96">
        <v>0</v>
      </c>
      <c r="BP49" s="96">
        <v>-2502000</v>
      </c>
      <c r="BQ49" s="96">
        <v>188000</v>
      </c>
      <c r="BR49" s="96">
        <v>0</v>
      </c>
      <c r="BS49" s="104">
        <v>-2314000</v>
      </c>
      <c r="BT49" s="105">
        <v>-2.7E-2</v>
      </c>
      <c r="BU49" s="105">
        <v>-1E-3</v>
      </c>
      <c r="BV49" s="105">
        <v>-2.8000000000000001E-2</v>
      </c>
      <c r="BW49" s="106">
        <v>0.8</v>
      </c>
      <c r="BX49" s="107">
        <v>46</v>
      </c>
      <c r="BY49" s="107">
        <v>112</v>
      </c>
      <c r="BZ49" s="108">
        <v>0.3</v>
      </c>
      <c r="CA49" s="109">
        <v>4.2999999999999997E-2</v>
      </c>
      <c r="CB49" s="109">
        <v>0.56399999999999995</v>
      </c>
      <c r="CC49" s="110">
        <v>56</v>
      </c>
      <c r="CD49" s="111">
        <v>5</v>
      </c>
      <c r="CE49" s="109">
        <v>5.8999999999999997E-2</v>
      </c>
      <c r="CF49" s="104">
        <v>-348342</v>
      </c>
      <c r="CG49" s="105">
        <v>-5.8999999999999997E-2</v>
      </c>
      <c r="CH49" s="105">
        <v>5.7000000000000002E-2</v>
      </c>
      <c r="CI49" s="105">
        <v>-2E-3</v>
      </c>
    </row>
    <row r="50" spans="1:87" s="222" customFormat="1" ht="22.8" x14ac:dyDescent="0.3">
      <c r="A50" s="14">
        <v>3112</v>
      </c>
      <c r="B50" s="14" t="s">
        <v>100</v>
      </c>
      <c r="C50" s="14" t="s">
        <v>77</v>
      </c>
      <c r="D50" s="14">
        <v>16665</v>
      </c>
      <c r="E50" s="14">
        <v>2025</v>
      </c>
      <c r="F50" s="14" t="s">
        <v>275</v>
      </c>
      <c r="G50" s="14">
        <v>2</v>
      </c>
      <c r="H50" s="14">
        <v>6</v>
      </c>
      <c r="I50" s="14" t="s">
        <v>709</v>
      </c>
      <c r="J50" s="96">
        <v>79000</v>
      </c>
      <c r="K50" s="96">
        <v>248488000</v>
      </c>
      <c r="L50" s="96">
        <v>0</v>
      </c>
      <c r="M50" s="96">
        <v>60242000</v>
      </c>
      <c r="N50" s="96">
        <v>66523000</v>
      </c>
      <c r="O50" s="96">
        <v>0</v>
      </c>
      <c r="P50" s="96">
        <v>20308000</v>
      </c>
      <c r="Q50" s="104">
        <v>395640000</v>
      </c>
      <c r="R50" s="96">
        <v>22612000</v>
      </c>
      <c r="S50" s="96">
        <v>1586000</v>
      </c>
      <c r="T50" s="96">
        <v>0</v>
      </c>
      <c r="U50" s="96">
        <v>0</v>
      </c>
      <c r="V50" s="96">
        <v>447911000</v>
      </c>
      <c r="W50" s="96">
        <v>330423000</v>
      </c>
      <c r="X50" s="104">
        <v>117488000</v>
      </c>
      <c r="Y50" s="96">
        <v>10577000</v>
      </c>
      <c r="Z50" s="104">
        <v>152263000</v>
      </c>
      <c r="AA50" s="104">
        <v>547903000</v>
      </c>
      <c r="AB50" s="96">
        <v>3815000</v>
      </c>
      <c r="AC50" s="96">
        <v>12565000</v>
      </c>
      <c r="AD50" s="96">
        <v>0</v>
      </c>
      <c r="AE50" s="96">
        <v>39421000</v>
      </c>
      <c r="AF50" s="104">
        <v>55801000</v>
      </c>
      <c r="AG50" s="96">
        <v>63515000</v>
      </c>
      <c r="AH50" s="96">
        <v>0</v>
      </c>
      <c r="AI50" s="96">
        <v>40650000</v>
      </c>
      <c r="AJ50" s="104">
        <v>104165000</v>
      </c>
      <c r="AK50" s="104">
        <v>159966000</v>
      </c>
      <c r="AL50" s="96">
        <v>356004000</v>
      </c>
      <c r="AM50" s="96">
        <v>20041000</v>
      </c>
      <c r="AN50" s="96">
        <v>11892000</v>
      </c>
      <c r="AO50" s="104">
        <v>387937000</v>
      </c>
      <c r="AP50" s="104">
        <v>547903000</v>
      </c>
      <c r="AQ50" s="96">
        <v>234458000</v>
      </c>
      <c r="AR50" s="96">
        <v>0</v>
      </c>
      <c r="AS50" s="96">
        <v>104985000</v>
      </c>
      <c r="AT50" s="96">
        <v>0</v>
      </c>
      <c r="AU50" s="96">
        <v>0</v>
      </c>
      <c r="AV50" s="96">
        <v>0</v>
      </c>
      <c r="AW50" s="104">
        <v>339443000</v>
      </c>
      <c r="AX50" s="96">
        <v>691000</v>
      </c>
      <c r="AY50" s="96">
        <v>0</v>
      </c>
      <c r="AZ50" s="96">
        <v>-4850000</v>
      </c>
      <c r="BA50" s="96">
        <v>-1475000</v>
      </c>
      <c r="BB50" s="96">
        <v>9000</v>
      </c>
      <c r="BC50" s="104">
        <v>-5625000</v>
      </c>
      <c r="BD50" s="104">
        <v>333818000</v>
      </c>
      <c r="BE50" s="96">
        <v>118039000</v>
      </c>
      <c r="BF50" s="96">
        <v>0</v>
      </c>
      <c r="BG50" s="96">
        <v>9579000</v>
      </c>
      <c r="BH50" s="96">
        <v>812000</v>
      </c>
      <c r="BI50" s="96">
        <v>4708000</v>
      </c>
      <c r="BJ50" s="96">
        <v>154335000</v>
      </c>
      <c r="BK50" s="96">
        <v>0</v>
      </c>
      <c r="BL50" s="104">
        <v>287473000</v>
      </c>
      <c r="BM50" s="104">
        <v>46345000</v>
      </c>
      <c r="BN50" s="96">
        <v>-6969000</v>
      </c>
      <c r="BO50" s="96">
        <v>0</v>
      </c>
      <c r="BP50" s="96">
        <v>39376000</v>
      </c>
      <c r="BQ50" s="96">
        <v>0</v>
      </c>
      <c r="BR50" s="96">
        <v>0</v>
      </c>
      <c r="BS50" s="104">
        <v>39376000</v>
      </c>
      <c r="BT50" s="105">
        <v>0.156</v>
      </c>
      <c r="BU50" s="105">
        <v>-1.7000000000000001E-2</v>
      </c>
      <c r="BV50" s="105">
        <v>0.13900000000000001</v>
      </c>
      <c r="BW50" s="106">
        <v>7.1</v>
      </c>
      <c r="BX50" s="107">
        <v>47</v>
      </c>
      <c r="BY50" s="107">
        <v>28</v>
      </c>
      <c r="BZ50" s="108">
        <v>13.3</v>
      </c>
      <c r="CA50" s="109">
        <v>0.50900000000000001</v>
      </c>
      <c r="CB50" s="109">
        <v>0.70799999999999996</v>
      </c>
      <c r="CC50" s="110">
        <v>34</v>
      </c>
      <c r="CD50" s="111">
        <v>163</v>
      </c>
      <c r="CE50" s="109">
        <v>0.151</v>
      </c>
      <c r="CF50" s="104">
        <v>12796115</v>
      </c>
      <c r="CG50" s="105">
        <v>-0.14000000000000001</v>
      </c>
      <c r="CH50" s="105">
        <v>0.183</v>
      </c>
      <c r="CI50" s="105">
        <v>4.2999999999999997E-2</v>
      </c>
    </row>
    <row r="51" spans="1:87" s="222" customFormat="1" ht="22.8" x14ac:dyDescent="0.3">
      <c r="A51" s="14">
        <v>3113</v>
      </c>
      <c r="B51" s="14" t="s">
        <v>171</v>
      </c>
      <c r="C51" s="14" t="s">
        <v>77</v>
      </c>
      <c r="D51" s="14">
        <v>4027</v>
      </c>
      <c r="E51" s="14">
        <v>2025</v>
      </c>
      <c r="F51" s="14" t="s">
        <v>275</v>
      </c>
      <c r="G51" s="14">
        <v>2</v>
      </c>
      <c r="H51" s="14">
        <v>6</v>
      </c>
      <c r="I51" s="14" t="s">
        <v>709</v>
      </c>
      <c r="J51" s="96">
        <v>15839177.331</v>
      </c>
      <c r="K51" s="96">
        <v>2095826.27</v>
      </c>
      <c r="L51" s="96">
        <v>1665118.88</v>
      </c>
      <c r="M51" s="96">
        <v>124416147.464</v>
      </c>
      <c r="N51" s="96">
        <v>37106913.188000001</v>
      </c>
      <c r="O51" s="96">
        <v>17420202.68</v>
      </c>
      <c r="P51" s="96">
        <v>58594806.299999997</v>
      </c>
      <c r="Q51" s="104">
        <v>257138192.11300001</v>
      </c>
      <c r="R51" s="96">
        <v>102332281.537</v>
      </c>
      <c r="S51" s="96">
        <v>417757.04</v>
      </c>
      <c r="T51" s="96">
        <v>0</v>
      </c>
      <c r="U51" s="96">
        <v>0</v>
      </c>
      <c r="V51" s="96">
        <v>1023305602.92</v>
      </c>
      <c r="W51" s="96">
        <v>717024046.27999997</v>
      </c>
      <c r="X51" s="104">
        <v>306281556.63999999</v>
      </c>
      <c r="Y51" s="96">
        <v>465318186.51999998</v>
      </c>
      <c r="Z51" s="104">
        <v>874349781.73699999</v>
      </c>
      <c r="AA51" s="104">
        <v>1131487973.8499999</v>
      </c>
      <c r="AB51" s="96">
        <v>11618335.960000001</v>
      </c>
      <c r="AC51" s="96">
        <v>5422799.2419999996</v>
      </c>
      <c r="AD51" s="96">
        <v>10046609.575999999</v>
      </c>
      <c r="AE51" s="96">
        <v>140831190.46000001</v>
      </c>
      <c r="AF51" s="104">
        <v>167918935.23800001</v>
      </c>
      <c r="AG51" s="96">
        <v>209797398.41999999</v>
      </c>
      <c r="AH51" s="96">
        <v>0</v>
      </c>
      <c r="AI51" s="96">
        <v>74903768.920000002</v>
      </c>
      <c r="AJ51" s="104">
        <v>284701167.33999997</v>
      </c>
      <c r="AK51" s="104">
        <v>452620102.57800001</v>
      </c>
      <c r="AL51" s="96">
        <v>584744767.64300001</v>
      </c>
      <c r="AM51" s="96">
        <v>30546690.120999999</v>
      </c>
      <c r="AN51" s="96">
        <v>63576413.505999997</v>
      </c>
      <c r="AO51" s="104">
        <v>678867871.26999998</v>
      </c>
      <c r="AP51" s="104">
        <v>1131487973.848</v>
      </c>
      <c r="AQ51" s="96">
        <v>562547920</v>
      </c>
      <c r="AR51" s="96">
        <v>0</v>
      </c>
      <c r="AS51" s="96">
        <v>90479253.099999994</v>
      </c>
      <c r="AT51" s="96">
        <v>2726240.21</v>
      </c>
      <c r="AU51" s="96">
        <v>0</v>
      </c>
      <c r="AV51" s="96">
        <v>1808452.64</v>
      </c>
      <c r="AW51" s="104">
        <v>657561865.95000005</v>
      </c>
      <c r="AX51" s="96">
        <v>5369709.5499999998</v>
      </c>
      <c r="AY51" s="96">
        <v>435964.17</v>
      </c>
      <c r="AZ51" s="96">
        <v>-13552326.32</v>
      </c>
      <c r="BA51" s="96">
        <v>7221811.4000000004</v>
      </c>
      <c r="BB51" s="96">
        <v>0</v>
      </c>
      <c r="BC51" s="104">
        <v>-524841.200000001</v>
      </c>
      <c r="BD51" s="104">
        <v>657037024.75</v>
      </c>
      <c r="BE51" s="96">
        <v>294061785.22000003</v>
      </c>
      <c r="BF51" s="96">
        <v>0</v>
      </c>
      <c r="BG51" s="96">
        <v>26874688.550000001</v>
      </c>
      <c r="BH51" s="96">
        <v>3509402.15</v>
      </c>
      <c r="BI51" s="96">
        <v>51316416</v>
      </c>
      <c r="BJ51" s="96">
        <v>252363231.11000001</v>
      </c>
      <c r="BK51" s="96">
        <v>0</v>
      </c>
      <c r="BL51" s="104">
        <v>628125523.02999997</v>
      </c>
      <c r="BM51" s="104">
        <v>28911501.720000301</v>
      </c>
      <c r="BN51" s="96">
        <v>-49098992.329999998</v>
      </c>
      <c r="BO51" s="96">
        <v>386705.18</v>
      </c>
      <c r="BP51" s="96">
        <v>-19800785.429999702</v>
      </c>
      <c r="BQ51" s="96">
        <v>0</v>
      </c>
      <c r="BR51" s="96">
        <v>0</v>
      </c>
      <c r="BS51" s="104">
        <v>-19800785.429999702</v>
      </c>
      <c r="BT51" s="105">
        <v>4.4999999999999998E-2</v>
      </c>
      <c r="BU51" s="105">
        <v>-1E-3</v>
      </c>
      <c r="BV51" s="105">
        <v>4.3999999999999997E-2</v>
      </c>
      <c r="BW51" s="106">
        <v>1.5</v>
      </c>
      <c r="BX51" s="107">
        <v>40</v>
      </c>
      <c r="BY51" s="107">
        <v>49</v>
      </c>
      <c r="BZ51" s="108">
        <v>3.9</v>
      </c>
      <c r="CA51" s="109">
        <v>0.14799999999999999</v>
      </c>
      <c r="CB51" s="109">
        <v>0.6</v>
      </c>
      <c r="CC51" s="110">
        <v>27</v>
      </c>
      <c r="CD51" s="111">
        <v>5</v>
      </c>
      <c r="CE51" s="109">
        <v>0.26400000000000001</v>
      </c>
      <c r="CF51" s="104">
        <v>957000</v>
      </c>
      <c r="CG51" s="105">
        <v>2E-3</v>
      </c>
      <c r="CH51" s="105">
        <v>-2E-3</v>
      </c>
      <c r="CI51" s="105">
        <v>1E-3</v>
      </c>
    </row>
    <row r="52" spans="1:87" s="222" customFormat="1" ht="22.8" x14ac:dyDescent="0.3">
      <c r="A52" s="14">
        <v>3115</v>
      </c>
      <c r="B52" s="14" t="s">
        <v>201</v>
      </c>
      <c r="C52" s="14" t="s">
        <v>77</v>
      </c>
      <c r="D52" s="14">
        <v>6755</v>
      </c>
      <c r="E52" s="14">
        <v>2025</v>
      </c>
      <c r="F52" s="14" t="s">
        <v>275</v>
      </c>
      <c r="G52" s="14">
        <v>2</v>
      </c>
      <c r="H52" s="14">
        <v>6</v>
      </c>
      <c r="I52" s="14" t="s">
        <v>709</v>
      </c>
      <c r="J52" s="96">
        <v>23467000</v>
      </c>
      <c r="K52" s="96">
        <v>0</v>
      </c>
      <c r="L52" s="96">
        <v>0</v>
      </c>
      <c r="M52" s="96">
        <v>322070000</v>
      </c>
      <c r="N52" s="96">
        <v>2089846000</v>
      </c>
      <c r="O52" s="96">
        <v>151077000</v>
      </c>
      <c r="P52" s="96">
        <v>76924000</v>
      </c>
      <c r="Q52" s="104">
        <v>2663384000</v>
      </c>
      <c r="R52" s="96">
        <v>0</v>
      </c>
      <c r="S52" s="96">
        <v>0</v>
      </c>
      <c r="T52" s="96">
        <v>0</v>
      </c>
      <c r="U52" s="96">
        <v>0</v>
      </c>
      <c r="V52" s="96">
        <v>1209500000</v>
      </c>
      <c r="W52" s="96">
        <v>744931000</v>
      </c>
      <c r="X52" s="104">
        <v>464569000</v>
      </c>
      <c r="Y52" s="96">
        <v>254443000</v>
      </c>
      <c r="Z52" s="104">
        <v>719012000</v>
      </c>
      <c r="AA52" s="104">
        <v>3382396000</v>
      </c>
      <c r="AB52" s="96">
        <v>0</v>
      </c>
      <c r="AC52" s="96">
        <v>3423000</v>
      </c>
      <c r="AD52" s="96">
        <v>2457983000</v>
      </c>
      <c r="AE52" s="96">
        <v>327324000</v>
      </c>
      <c r="AF52" s="104">
        <v>2788730000</v>
      </c>
      <c r="AG52" s="96">
        <v>0</v>
      </c>
      <c r="AH52" s="96">
        <v>274908000</v>
      </c>
      <c r="AI52" s="96">
        <v>57356000</v>
      </c>
      <c r="AJ52" s="104">
        <v>332264000</v>
      </c>
      <c r="AK52" s="104">
        <v>3120994000</v>
      </c>
      <c r="AL52" s="96">
        <v>181830000</v>
      </c>
      <c r="AM52" s="96">
        <v>50941000</v>
      </c>
      <c r="AN52" s="96">
        <v>28632000</v>
      </c>
      <c r="AO52" s="104">
        <v>261403000</v>
      </c>
      <c r="AP52" s="104">
        <v>3382397000</v>
      </c>
      <c r="AQ52" s="96">
        <v>1379454000</v>
      </c>
      <c r="AR52" s="96">
        <v>0</v>
      </c>
      <c r="AS52" s="96">
        <v>72493000</v>
      </c>
      <c r="AT52" s="96">
        <v>0</v>
      </c>
      <c r="AU52" s="96">
        <v>0</v>
      </c>
      <c r="AV52" s="96">
        <v>1593000</v>
      </c>
      <c r="AW52" s="104">
        <v>1453540000</v>
      </c>
      <c r="AX52" s="96">
        <v>5227000</v>
      </c>
      <c r="AY52" s="96">
        <v>2851000</v>
      </c>
      <c r="AZ52" s="96"/>
      <c r="BA52" s="96">
        <v>-230000</v>
      </c>
      <c r="BB52" s="96">
        <v>0</v>
      </c>
      <c r="BC52" s="104">
        <v>7848000</v>
      </c>
      <c r="BD52" s="104">
        <v>1461388000</v>
      </c>
      <c r="BE52" s="96">
        <v>539705000</v>
      </c>
      <c r="BF52" s="96">
        <v>0</v>
      </c>
      <c r="BG52" s="96">
        <v>31584000</v>
      </c>
      <c r="BH52" s="96">
        <v>10070000</v>
      </c>
      <c r="BI52" s="96">
        <v>31852000</v>
      </c>
      <c r="BJ52" s="96">
        <v>900270000</v>
      </c>
      <c r="BK52" s="96">
        <v>0</v>
      </c>
      <c r="BL52" s="104">
        <v>1513481000</v>
      </c>
      <c r="BM52" s="104">
        <v>-52093000</v>
      </c>
      <c r="BN52" s="96">
        <v>-13974000</v>
      </c>
      <c r="BO52" s="96">
        <v>77000</v>
      </c>
      <c r="BP52" s="96">
        <v>-65990000</v>
      </c>
      <c r="BQ52" s="96">
        <v>0</v>
      </c>
      <c r="BR52" s="96">
        <v>0</v>
      </c>
      <c r="BS52" s="104">
        <v>-65990000</v>
      </c>
      <c r="BT52" s="109">
        <v>-4.1000000000000002E-2</v>
      </c>
      <c r="BU52" s="109">
        <v>5.0000000000000001E-3</v>
      </c>
      <c r="BV52" s="109">
        <v>-3.5999999999999997E-2</v>
      </c>
      <c r="BW52" s="106">
        <v>1</v>
      </c>
      <c r="BX52" s="107">
        <v>43</v>
      </c>
      <c r="BY52" s="107">
        <v>343</v>
      </c>
      <c r="BZ52" s="108">
        <v>-1</v>
      </c>
      <c r="CA52" s="109">
        <v>-7.0000000000000001E-3</v>
      </c>
      <c r="CB52" s="109">
        <v>7.6999999999999999E-2</v>
      </c>
      <c r="CC52" s="110">
        <v>24</v>
      </c>
      <c r="CD52" s="110"/>
      <c r="CE52" s="110"/>
      <c r="CF52" s="104">
        <v>-10220660.0599993</v>
      </c>
      <c r="CG52" s="105">
        <v>-1.0999999999999999E-2</v>
      </c>
      <c r="CH52" s="105">
        <v>-2E-3</v>
      </c>
      <c r="CI52" s="105">
        <v>-1.2999999999999999E-2</v>
      </c>
    </row>
    <row r="53" spans="1:87" s="222" customFormat="1" ht="22.8" x14ac:dyDescent="0.3">
      <c r="A53" s="14">
        <v>3791</v>
      </c>
      <c r="B53" s="14" t="s">
        <v>141</v>
      </c>
      <c r="C53" s="14" t="s">
        <v>75</v>
      </c>
      <c r="D53" s="14">
        <v>3791</v>
      </c>
      <c r="E53" s="14">
        <v>2025</v>
      </c>
      <c r="F53" s="14" t="s">
        <v>275</v>
      </c>
      <c r="G53" s="14">
        <v>2</v>
      </c>
      <c r="H53" s="14">
        <v>6</v>
      </c>
      <c r="I53" s="14" t="s">
        <v>709</v>
      </c>
      <c r="J53" s="96">
        <v>91628000</v>
      </c>
      <c r="K53" s="96">
        <v>4050042000</v>
      </c>
      <c r="L53" s="96">
        <v>3640623000</v>
      </c>
      <c r="M53" s="96">
        <v>1906412000</v>
      </c>
      <c r="N53" s="96">
        <v>0</v>
      </c>
      <c r="O53" s="96">
        <v>99296000</v>
      </c>
      <c r="P53" s="96">
        <v>1691639000</v>
      </c>
      <c r="Q53" s="104">
        <v>11479640000</v>
      </c>
      <c r="R53" s="96">
        <v>6533017000</v>
      </c>
      <c r="S53" s="96">
        <v>494176000</v>
      </c>
      <c r="T53" s="96">
        <v>0</v>
      </c>
      <c r="U53" s="96">
        <v>0</v>
      </c>
      <c r="V53" s="96">
        <v>15819708000</v>
      </c>
      <c r="W53" s="96">
        <v>8125102000</v>
      </c>
      <c r="X53" s="104">
        <v>7694606000</v>
      </c>
      <c r="Y53" s="96">
        <v>6350022000</v>
      </c>
      <c r="Z53" s="104">
        <v>21071821000</v>
      </c>
      <c r="AA53" s="104">
        <v>32551461000</v>
      </c>
      <c r="AB53" s="96">
        <v>618014000</v>
      </c>
      <c r="AC53" s="96">
        <v>74135000</v>
      </c>
      <c r="AD53" s="96">
        <v>0</v>
      </c>
      <c r="AE53" s="96">
        <v>3643618000</v>
      </c>
      <c r="AF53" s="104">
        <v>4335767000</v>
      </c>
      <c r="AG53" s="96">
        <v>5694835000</v>
      </c>
      <c r="AH53" s="96">
        <v>0</v>
      </c>
      <c r="AI53" s="96">
        <v>2612161000</v>
      </c>
      <c r="AJ53" s="104">
        <v>8306996000</v>
      </c>
      <c r="AK53" s="104">
        <v>12642763000</v>
      </c>
      <c r="AL53" s="96">
        <v>15732635000</v>
      </c>
      <c r="AM53" s="96">
        <v>4176063000</v>
      </c>
      <c r="AN53" s="96">
        <v>0</v>
      </c>
      <c r="AO53" s="104">
        <v>19908698000</v>
      </c>
      <c r="AP53" s="104">
        <v>32551461000</v>
      </c>
      <c r="AQ53" s="96">
        <v>7046655000</v>
      </c>
      <c r="AR53" s="96">
        <v>0</v>
      </c>
      <c r="AS53" s="96">
        <v>3942681000</v>
      </c>
      <c r="AT53" s="96">
        <v>0</v>
      </c>
      <c r="AU53" s="96">
        <v>0</v>
      </c>
      <c r="AV53" s="96">
        <v>0</v>
      </c>
      <c r="AW53" s="104">
        <v>10989336000</v>
      </c>
      <c r="AX53" s="96">
        <v>195092000</v>
      </c>
      <c r="AY53" s="96">
        <v>-51724000</v>
      </c>
      <c r="AZ53" s="96">
        <v>-72307000</v>
      </c>
      <c r="BA53" s="96">
        <v>0</v>
      </c>
      <c r="BB53" s="96">
        <v>334715000</v>
      </c>
      <c r="BC53" s="104">
        <v>405776000</v>
      </c>
      <c r="BD53" s="104">
        <v>11395112000</v>
      </c>
      <c r="BE53" s="96">
        <v>5511328000</v>
      </c>
      <c r="BF53" s="96">
        <v>0</v>
      </c>
      <c r="BG53" s="96">
        <v>392725000</v>
      </c>
      <c r="BH53" s="96">
        <v>75375000</v>
      </c>
      <c r="BI53" s="96">
        <v>29011000</v>
      </c>
      <c r="BJ53" s="96">
        <v>5099447000</v>
      </c>
      <c r="BK53" s="96">
        <v>0</v>
      </c>
      <c r="BL53" s="104">
        <v>11107886000</v>
      </c>
      <c r="BM53" s="104">
        <v>287226000</v>
      </c>
      <c r="BN53" s="96">
        <v>0</v>
      </c>
      <c r="BO53" s="96">
        <v>31819000</v>
      </c>
      <c r="BP53" s="96">
        <v>319045000</v>
      </c>
      <c r="BQ53" s="96">
        <v>0</v>
      </c>
      <c r="BR53" s="96">
        <v>0</v>
      </c>
      <c r="BS53" s="104">
        <v>319045000</v>
      </c>
      <c r="BT53" s="105">
        <v>-0.01</v>
      </c>
      <c r="BU53" s="105">
        <v>3.5999999999999997E-2</v>
      </c>
      <c r="BV53" s="105">
        <v>2.5000000000000001E-2</v>
      </c>
      <c r="BW53" s="106">
        <v>2.6</v>
      </c>
      <c r="BX53" s="107">
        <v>49</v>
      </c>
      <c r="BY53" s="107">
        <v>73</v>
      </c>
      <c r="BZ53" s="108">
        <v>1.1000000000000001</v>
      </c>
      <c r="CA53" s="109">
        <v>6.8000000000000005E-2</v>
      </c>
      <c r="CB53" s="109">
        <v>0.61199999999999999</v>
      </c>
      <c r="CC53" s="110">
        <v>21</v>
      </c>
      <c r="CD53" s="111">
        <v>71</v>
      </c>
      <c r="CE53" s="109">
        <v>0.222</v>
      </c>
      <c r="CF53" s="104">
        <v>2840548</v>
      </c>
      <c r="CG53" s="105">
        <v>-0.01</v>
      </c>
      <c r="CH53" s="105">
        <v>2.4E-2</v>
      </c>
      <c r="CI53" s="105">
        <v>1.4E-2</v>
      </c>
    </row>
    <row r="54" spans="1:87" s="222" customFormat="1" ht="22.8" x14ac:dyDescent="0.3">
      <c r="A54" s="57">
        <v>3888</v>
      </c>
      <c r="B54" s="57" t="s">
        <v>615</v>
      </c>
      <c r="C54" s="57" t="s">
        <v>75</v>
      </c>
      <c r="D54" s="57">
        <v>3888</v>
      </c>
      <c r="E54" s="57">
        <v>2025</v>
      </c>
      <c r="F54" s="57" t="s">
        <v>630</v>
      </c>
      <c r="G54" s="57">
        <v>1</v>
      </c>
      <c r="H54" s="57">
        <v>3</v>
      </c>
      <c r="I54" s="57" t="s">
        <v>710</v>
      </c>
      <c r="J54" s="100">
        <v>2999000000</v>
      </c>
      <c r="K54" s="100">
        <v>0</v>
      </c>
      <c r="L54" s="100">
        <v>0</v>
      </c>
      <c r="M54" s="100">
        <v>2619000000</v>
      </c>
      <c r="N54" s="100">
        <v>0</v>
      </c>
      <c r="O54" s="100">
        <v>0</v>
      </c>
      <c r="P54" s="100">
        <v>2295000000</v>
      </c>
      <c r="Q54" s="104">
        <v>7913000000</v>
      </c>
      <c r="R54" s="100">
        <v>0</v>
      </c>
      <c r="S54" s="100">
        <v>0</v>
      </c>
      <c r="T54" s="100">
        <v>0</v>
      </c>
      <c r="U54" s="100">
        <v>3069000000</v>
      </c>
      <c r="V54" s="100">
        <v>11935000000</v>
      </c>
      <c r="W54" s="100">
        <v>5944000000</v>
      </c>
      <c r="X54" s="104">
        <v>5991000000</v>
      </c>
      <c r="Y54" s="100">
        <v>12264000000</v>
      </c>
      <c r="Z54" s="104">
        <v>21324000000</v>
      </c>
      <c r="AA54" s="104">
        <v>29237000000</v>
      </c>
      <c r="AB54" s="100">
        <v>88000000</v>
      </c>
      <c r="AC54" s="100">
        <v>0</v>
      </c>
      <c r="AD54" s="100">
        <v>0</v>
      </c>
      <c r="AE54" s="100">
        <v>4363000000</v>
      </c>
      <c r="AF54" s="104">
        <v>4451000000</v>
      </c>
      <c r="AG54" s="100">
        <v>13082000000</v>
      </c>
      <c r="AH54" s="100">
        <v>0</v>
      </c>
      <c r="AI54" s="100">
        <v>3051000000</v>
      </c>
      <c r="AJ54" s="104">
        <v>16133000000</v>
      </c>
      <c r="AK54" s="104">
        <v>20584000000</v>
      </c>
      <c r="AL54" s="100">
        <v>8653000000</v>
      </c>
      <c r="AM54" s="100">
        <v>0</v>
      </c>
      <c r="AN54" s="100">
        <v>0</v>
      </c>
      <c r="AO54" s="104">
        <v>8653000000</v>
      </c>
      <c r="AP54" s="104">
        <v>29237000000</v>
      </c>
      <c r="AQ54" s="100">
        <v>5223000000</v>
      </c>
      <c r="AR54" s="100">
        <v>0</v>
      </c>
      <c r="AS54" s="100">
        <v>56000000</v>
      </c>
      <c r="AT54" s="100">
        <v>0</v>
      </c>
      <c r="AU54" s="100">
        <v>0</v>
      </c>
      <c r="AV54" s="100">
        <v>0</v>
      </c>
      <c r="AW54" s="104">
        <v>5279000000</v>
      </c>
      <c r="AX54" s="100">
        <v>0</v>
      </c>
      <c r="AY54" s="100">
        <v>0</v>
      </c>
      <c r="AZ54" s="100">
        <v>-216000000</v>
      </c>
      <c r="BA54" s="100">
        <v>26000000</v>
      </c>
      <c r="BB54" s="100">
        <v>0</v>
      </c>
      <c r="BC54" s="104">
        <v>-190000000</v>
      </c>
      <c r="BD54" s="104">
        <v>5089000000</v>
      </c>
      <c r="BE54" s="100">
        <v>2119000000</v>
      </c>
      <c r="BF54" s="100">
        <v>0</v>
      </c>
      <c r="BG54" s="100">
        <v>206000000</v>
      </c>
      <c r="BH54" s="100">
        <v>204000000</v>
      </c>
      <c r="BI54" s="100">
        <v>0</v>
      </c>
      <c r="BJ54" s="100">
        <v>2154000000</v>
      </c>
      <c r="BK54" s="100">
        <v>0</v>
      </c>
      <c r="BL54" s="104">
        <v>4683000000</v>
      </c>
      <c r="BM54" s="104">
        <v>406000000</v>
      </c>
      <c r="BN54" s="100">
        <v>0</v>
      </c>
      <c r="BO54" s="100">
        <v>0</v>
      </c>
      <c r="BP54" s="100">
        <v>406000000</v>
      </c>
      <c r="BQ54" s="100">
        <v>0</v>
      </c>
      <c r="BR54" s="100">
        <v>0</v>
      </c>
      <c r="BS54" s="104">
        <v>406000000</v>
      </c>
      <c r="BT54" s="105">
        <v>0.11700000000000001</v>
      </c>
      <c r="BU54" s="105">
        <v>-3.6999999999999998E-2</v>
      </c>
      <c r="BV54" s="105">
        <v>0.08</v>
      </c>
      <c r="BW54" s="106">
        <v>1.8</v>
      </c>
      <c r="BX54" s="107">
        <v>46</v>
      </c>
      <c r="BY54" s="107">
        <v>91</v>
      </c>
      <c r="BZ54" s="108">
        <v>2.8</v>
      </c>
      <c r="CA54" s="109">
        <v>3.5000000000000003E-2</v>
      </c>
      <c r="CB54" s="109">
        <v>0.29599999999999999</v>
      </c>
      <c r="CC54" s="110">
        <v>29</v>
      </c>
      <c r="CD54" s="111">
        <v>61</v>
      </c>
      <c r="CE54" s="109">
        <v>0.60199999999999998</v>
      </c>
      <c r="CF54" s="104">
        <v>-28272203</v>
      </c>
      <c r="CG54" s="105">
        <v>-0.05</v>
      </c>
      <c r="CH54" s="105">
        <v>-8.0000000000000002E-3</v>
      </c>
      <c r="CI54" s="105">
        <v>-5.8000000000000003E-2</v>
      </c>
    </row>
    <row r="55" spans="1:87" s="222" customFormat="1" ht="22.8" x14ac:dyDescent="0.3">
      <c r="A55" s="57">
        <v>4027</v>
      </c>
      <c r="B55" s="57" t="s">
        <v>170</v>
      </c>
      <c r="C55" s="57" t="s">
        <v>75</v>
      </c>
      <c r="D55" s="57">
        <v>4027</v>
      </c>
      <c r="E55" s="57">
        <v>2025</v>
      </c>
      <c r="F55" s="57" t="s">
        <v>275</v>
      </c>
      <c r="G55" s="57">
        <v>2</v>
      </c>
      <c r="H55" s="57">
        <v>6</v>
      </c>
      <c r="I55" s="57" t="s">
        <v>709</v>
      </c>
      <c r="J55" s="100">
        <v>44340189.120999999</v>
      </c>
      <c r="K55" s="100">
        <v>5440094.54</v>
      </c>
      <c r="L55" s="100">
        <v>9147308.3699999992</v>
      </c>
      <c r="M55" s="100">
        <v>156493424.51100001</v>
      </c>
      <c r="N55" s="100">
        <v>0</v>
      </c>
      <c r="O55" s="100">
        <v>20144911.960000001</v>
      </c>
      <c r="P55" s="100">
        <v>66273663.517999999</v>
      </c>
      <c r="Q55" s="104">
        <v>301839592.01999998</v>
      </c>
      <c r="R55" s="100">
        <v>156048848.257</v>
      </c>
      <c r="S55" s="100">
        <v>417757.04</v>
      </c>
      <c r="T55" s="100">
        <v>0</v>
      </c>
      <c r="U55" s="100">
        <v>0</v>
      </c>
      <c r="V55" s="100">
        <v>1117473984.7780001</v>
      </c>
      <c r="W55" s="100">
        <v>756698326.28999996</v>
      </c>
      <c r="X55" s="104">
        <v>360775658.48799998</v>
      </c>
      <c r="Y55" s="100">
        <v>773195325.03499997</v>
      </c>
      <c r="Z55" s="104">
        <v>1290437588.8199999</v>
      </c>
      <c r="AA55" s="104">
        <v>1592277180.8399999</v>
      </c>
      <c r="AB55" s="100">
        <v>12403587.76</v>
      </c>
      <c r="AC55" s="100">
        <v>5844414.8119999999</v>
      </c>
      <c r="AD55" s="100">
        <v>0</v>
      </c>
      <c r="AE55" s="100">
        <v>200981036.505</v>
      </c>
      <c r="AF55" s="104">
        <v>219229039.07699999</v>
      </c>
      <c r="AG55" s="100">
        <v>223916372.41</v>
      </c>
      <c r="AH55" s="100">
        <v>0</v>
      </c>
      <c r="AI55" s="100">
        <v>154203429.59</v>
      </c>
      <c r="AJ55" s="104">
        <v>378119802</v>
      </c>
      <c r="AK55" s="104">
        <v>597348841.07700002</v>
      </c>
      <c r="AL55" s="100">
        <v>898012542.05400002</v>
      </c>
      <c r="AM55" s="100">
        <v>31152443.131000001</v>
      </c>
      <c r="AN55" s="100">
        <v>65763354.575999998</v>
      </c>
      <c r="AO55" s="104">
        <v>994928339.76100004</v>
      </c>
      <c r="AP55" s="104">
        <v>1592277180.8380001</v>
      </c>
      <c r="AQ55" s="100">
        <v>716950052.17000103</v>
      </c>
      <c r="AR55" s="100">
        <v>0</v>
      </c>
      <c r="AS55" s="100">
        <v>92569398.349999994</v>
      </c>
      <c r="AT55" s="100">
        <v>2726240.21</v>
      </c>
      <c r="AU55" s="100">
        <v>0</v>
      </c>
      <c r="AV55" s="100">
        <v>1867442.64</v>
      </c>
      <c r="AW55" s="104">
        <v>814113133.37000096</v>
      </c>
      <c r="AX55" s="100">
        <v>8422916.3399999999</v>
      </c>
      <c r="AY55" s="100">
        <v>586889.88</v>
      </c>
      <c r="AZ55" s="100">
        <v>-21059443.5</v>
      </c>
      <c r="BA55" s="100">
        <v>10813208.25</v>
      </c>
      <c r="BB55" s="100">
        <v>0</v>
      </c>
      <c r="BC55" s="104">
        <v>-1236429.03</v>
      </c>
      <c r="BD55" s="104">
        <v>812876704.34000099</v>
      </c>
      <c r="BE55" s="100">
        <v>483286696.17000002</v>
      </c>
      <c r="BF55" s="100">
        <v>0</v>
      </c>
      <c r="BG55" s="100">
        <v>28927752.120000001</v>
      </c>
      <c r="BH55" s="100">
        <v>3582037.47</v>
      </c>
      <c r="BI55" s="100">
        <v>51316416</v>
      </c>
      <c r="BJ55" s="100">
        <v>253258222.43000001</v>
      </c>
      <c r="BK55" s="100">
        <v>0</v>
      </c>
      <c r="BL55" s="104">
        <v>820371124.19000006</v>
      </c>
      <c r="BM55" s="104">
        <v>-7494419.8499993104</v>
      </c>
      <c r="BN55" s="100">
        <v>0</v>
      </c>
      <c r="BO55" s="100">
        <v>194357.05</v>
      </c>
      <c r="BP55" s="100">
        <v>-7300062.7999993097</v>
      </c>
      <c r="BQ55" s="100">
        <v>0</v>
      </c>
      <c r="BR55" s="100">
        <v>0</v>
      </c>
      <c r="BS55" s="104">
        <v>-7300062.7999993097</v>
      </c>
      <c r="BT55" s="105">
        <v>-8.0000000000000002E-3</v>
      </c>
      <c r="BU55" s="105">
        <v>-2E-3</v>
      </c>
      <c r="BV55" s="105">
        <v>-8.9999999999999993E-3</v>
      </c>
      <c r="BW55" s="106">
        <v>1.4</v>
      </c>
      <c r="BX55" s="107">
        <v>40</v>
      </c>
      <c r="BY55" s="107">
        <v>49</v>
      </c>
      <c r="BZ55" s="108">
        <v>1.6</v>
      </c>
      <c r="CA55" s="109">
        <v>4.8000000000000001E-2</v>
      </c>
      <c r="CB55" s="109">
        <v>0.625</v>
      </c>
      <c r="CC55" s="110">
        <v>26</v>
      </c>
      <c r="CD55" s="111">
        <v>11</v>
      </c>
      <c r="CE55" s="109">
        <v>0.2</v>
      </c>
      <c r="CF55" s="104">
        <v>21537328</v>
      </c>
      <c r="CG55" s="105">
        <v>5.6000000000000001E-2</v>
      </c>
      <c r="CH55" s="105">
        <v>-0.01</v>
      </c>
      <c r="CI55" s="105">
        <v>4.5999999999999999E-2</v>
      </c>
    </row>
    <row r="56" spans="1:87" s="222" customFormat="1" ht="22.8" x14ac:dyDescent="0.3">
      <c r="A56" s="14">
        <v>4066</v>
      </c>
      <c r="B56" s="14" t="s">
        <v>73</v>
      </c>
      <c r="C56" s="14" t="s">
        <v>75</v>
      </c>
      <c r="D56" s="14">
        <v>4066</v>
      </c>
      <c r="E56" s="14">
        <v>2025</v>
      </c>
      <c r="F56" s="14" t="s">
        <v>275</v>
      </c>
      <c r="G56" s="14">
        <v>2</v>
      </c>
      <c r="H56" s="14">
        <v>6</v>
      </c>
      <c r="I56" s="14" t="s">
        <v>709</v>
      </c>
      <c r="J56" s="96">
        <v>212423000</v>
      </c>
      <c r="K56" s="96">
        <v>276039000</v>
      </c>
      <c r="L56" s="96">
        <v>0</v>
      </c>
      <c r="M56" s="96">
        <v>255897000</v>
      </c>
      <c r="N56" s="96">
        <v>0</v>
      </c>
      <c r="O56" s="96">
        <v>50975000</v>
      </c>
      <c r="P56" s="96">
        <v>197389000</v>
      </c>
      <c r="Q56" s="104">
        <v>992723000</v>
      </c>
      <c r="R56" s="96">
        <v>655968000</v>
      </c>
      <c r="S56" s="96">
        <v>0</v>
      </c>
      <c r="T56" s="96">
        <v>0</v>
      </c>
      <c r="U56" s="96">
        <v>22888000</v>
      </c>
      <c r="V56" s="96">
        <v>2245834000</v>
      </c>
      <c r="W56" s="96">
        <v>1455504000</v>
      </c>
      <c r="X56" s="104">
        <v>790330000</v>
      </c>
      <c r="Y56" s="96">
        <v>161519000</v>
      </c>
      <c r="Z56" s="104">
        <v>1630705000</v>
      </c>
      <c r="AA56" s="104">
        <v>2623428000</v>
      </c>
      <c r="AB56" s="96">
        <v>16570000</v>
      </c>
      <c r="AC56" s="96">
        <v>46684000</v>
      </c>
      <c r="AD56" s="96">
        <v>0</v>
      </c>
      <c r="AE56" s="96">
        <v>535188000</v>
      </c>
      <c r="AF56" s="104">
        <v>598442000</v>
      </c>
      <c r="AG56" s="96">
        <v>553440000</v>
      </c>
      <c r="AH56" s="96">
        <v>0</v>
      </c>
      <c r="AI56" s="96">
        <v>264905000</v>
      </c>
      <c r="AJ56" s="104">
        <v>818345000</v>
      </c>
      <c r="AK56" s="104">
        <v>1416787000</v>
      </c>
      <c r="AL56" s="96">
        <v>1057352000</v>
      </c>
      <c r="AM56" s="96">
        <v>0</v>
      </c>
      <c r="AN56" s="96">
        <v>149289000</v>
      </c>
      <c r="AO56" s="104">
        <v>1206641000</v>
      </c>
      <c r="AP56" s="104">
        <v>2623428000</v>
      </c>
      <c r="AQ56" s="96">
        <v>1102819000</v>
      </c>
      <c r="AR56" s="96">
        <v>0</v>
      </c>
      <c r="AS56" s="96">
        <v>646392000</v>
      </c>
      <c r="AT56" s="96">
        <v>0</v>
      </c>
      <c r="AU56" s="96">
        <v>0</v>
      </c>
      <c r="AV56" s="96">
        <v>1313000</v>
      </c>
      <c r="AW56" s="104">
        <v>1750524000</v>
      </c>
      <c r="AX56" s="96">
        <v>7436000</v>
      </c>
      <c r="AY56" s="96">
        <v>0</v>
      </c>
      <c r="AZ56" s="96">
        <v>-5903000</v>
      </c>
      <c r="BA56" s="96">
        <v>-4137000</v>
      </c>
      <c r="BB56" s="96">
        <v>-668000</v>
      </c>
      <c r="BC56" s="104">
        <v>-3272000</v>
      </c>
      <c r="BD56" s="104">
        <v>1747252000</v>
      </c>
      <c r="BE56" s="96">
        <v>741804000</v>
      </c>
      <c r="BF56" s="96">
        <v>0</v>
      </c>
      <c r="BG56" s="96">
        <v>41604000</v>
      </c>
      <c r="BH56" s="96">
        <v>9640000</v>
      </c>
      <c r="BI56" s="96">
        <v>86444000</v>
      </c>
      <c r="BJ56" s="96">
        <v>860394000</v>
      </c>
      <c r="BK56" s="96">
        <v>6409000</v>
      </c>
      <c r="BL56" s="104">
        <v>1746295000</v>
      </c>
      <c r="BM56" s="104">
        <v>957000</v>
      </c>
      <c r="BN56" s="96">
        <v>0</v>
      </c>
      <c r="BO56" s="96">
        <v>1466000</v>
      </c>
      <c r="BP56" s="96">
        <v>2423000</v>
      </c>
      <c r="BQ56" s="96">
        <v>0</v>
      </c>
      <c r="BR56" s="96">
        <v>0</v>
      </c>
      <c r="BS56" s="104">
        <v>2423000</v>
      </c>
      <c r="BT56" s="105">
        <v>2E-3</v>
      </c>
      <c r="BU56" s="105">
        <v>-2E-3</v>
      </c>
      <c r="BV56" s="105">
        <v>1E-3</v>
      </c>
      <c r="BW56" s="106">
        <v>1.7</v>
      </c>
      <c r="BX56" s="107">
        <v>42</v>
      </c>
      <c r="BY56" s="107">
        <v>59</v>
      </c>
      <c r="BZ56" s="108">
        <v>2</v>
      </c>
      <c r="CA56" s="109">
        <v>3.6999999999999998E-2</v>
      </c>
      <c r="CB56" s="109">
        <v>0.46</v>
      </c>
      <c r="CC56" s="110">
        <v>35</v>
      </c>
      <c r="CD56" s="111">
        <v>52</v>
      </c>
      <c r="CE56" s="109">
        <v>0.314</v>
      </c>
      <c r="CF56" s="104">
        <v>47487000</v>
      </c>
      <c r="CG56" s="105">
        <v>-2.4E-2</v>
      </c>
      <c r="CH56" s="105">
        <v>4.4999999999999998E-2</v>
      </c>
      <c r="CI56" s="105">
        <v>2.1000000000000001E-2</v>
      </c>
    </row>
    <row r="57" spans="1:87" s="222" customFormat="1" ht="22.8" x14ac:dyDescent="0.3">
      <c r="A57" s="57">
        <v>6309</v>
      </c>
      <c r="B57" s="57" t="s">
        <v>86</v>
      </c>
      <c r="C57" s="57" t="s">
        <v>77</v>
      </c>
      <c r="D57" s="57">
        <v>3106</v>
      </c>
      <c r="E57" s="57">
        <v>2025</v>
      </c>
      <c r="F57" s="57" t="s">
        <v>275</v>
      </c>
      <c r="G57" s="57">
        <v>2</v>
      </c>
      <c r="H57" s="57">
        <v>6</v>
      </c>
      <c r="I57" s="57" t="s">
        <v>709</v>
      </c>
      <c r="J57" s="100">
        <v>145740813</v>
      </c>
      <c r="K57" s="100">
        <v>0</v>
      </c>
      <c r="L57" s="100">
        <v>0</v>
      </c>
      <c r="M57" s="100">
        <v>48297412</v>
      </c>
      <c r="N57" s="100">
        <v>13408355</v>
      </c>
      <c r="O57" s="100">
        <v>0</v>
      </c>
      <c r="P57" s="100">
        <v>31626450</v>
      </c>
      <c r="Q57" s="104">
        <v>239073030</v>
      </c>
      <c r="R57" s="100">
        <v>405430925</v>
      </c>
      <c r="S57" s="100">
        <v>0</v>
      </c>
      <c r="T57" s="100">
        <v>0</v>
      </c>
      <c r="U57" s="100">
        <v>0</v>
      </c>
      <c r="V57" s="100">
        <v>522092398</v>
      </c>
      <c r="W57" s="100">
        <v>343061691</v>
      </c>
      <c r="X57" s="104">
        <v>179030707</v>
      </c>
      <c r="Y57" s="100">
        <v>23910408</v>
      </c>
      <c r="Z57" s="104">
        <v>608372040</v>
      </c>
      <c r="AA57" s="104">
        <v>847445070</v>
      </c>
      <c r="AB57" s="100">
        <v>4441080</v>
      </c>
      <c r="AC57" s="100">
        <v>53927746</v>
      </c>
      <c r="AD57" s="100">
        <v>0</v>
      </c>
      <c r="AE57" s="100">
        <v>72430772</v>
      </c>
      <c r="AF57" s="104">
        <v>130799598</v>
      </c>
      <c r="AG57" s="100">
        <v>33392400</v>
      </c>
      <c r="AH57" s="100">
        <v>0</v>
      </c>
      <c r="AI57" s="100">
        <v>17487313</v>
      </c>
      <c r="AJ57" s="104">
        <v>50879713</v>
      </c>
      <c r="AK57" s="104">
        <v>181679311</v>
      </c>
      <c r="AL57" s="100">
        <v>620741356</v>
      </c>
      <c r="AM57" s="100">
        <v>37141201</v>
      </c>
      <c r="AN57" s="100">
        <v>7883202</v>
      </c>
      <c r="AO57" s="104">
        <v>665765759</v>
      </c>
      <c r="AP57" s="104">
        <v>847445070</v>
      </c>
      <c r="AQ57" s="100">
        <v>264713676</v>
      </c>
      <c r="AR57" s="100">
        <v>1204829</v>
      </c>
      <c r="AS57" s="100">
        <v>104086996</v>
      </c>
      <c r="AT57" s="100">
        <v>0</v>
      </c>
      <c r="AU57" s="100">
        <v>0</v>
      </c>
      <c r="AV57" s="100">
        <v>63642</v>
      </c>
      <c r="AW57" s="104">
        <v>370069143</v>
      </c>
      <c r="AX57" s="100">
        <v>21341147</v>
      </c>
      <c r="AY57" s="100">
        <v>0</v>
      </c>
      <c r="AZ57" s="100">
        <v>-25721019</v>
      </c>
      <c r="BA57" s="100">
        <v>0</v>
      </c>
      <c r="BB57" s="100">
        <v>1274</v>
      </c>
      <c r="BC57" s="104">
        <v>-4378598</v>
      </c>
      <c r="BD57" s="104">
        <v>365690545</v>
      </c>
      <c r="BE57" s="100">
        <v>151018791</v>
      </c>
      <c r="BF57" s="100">
        <v>0</v>
      </c>
      <c r="BG57" s="100">
        <v>8404433</v>
      </c>
      <c r="BH57" s="100">
        <v>183526</v>
      </c>
      <c r="BI57" s="100">
        <v>16740738</v>
      </c>
      <c r="BJ57" s="100">
        <v>153922637</v>
      </c>
      <c r="BK57" s="100">
        <v>0</v>
      </c>
      <c r="BL57" s="104">
        <v>330270125</v>
      </c>
      <c r="BM57" s="104">
        <v>35420420</v>
      </c>
      <c r="BN57" s="100">
        <v>-19500371</v>
      </c>
      <c r="BO57" s="100">
        <v>25000</v>
      </c>
      <c r="BP57" s="100">
        <v>15945049</v>
      </c>
      <c r="BQ57" s="100">
        <v>0</v>
      </c>
      <c r="BR57" s="100">
        <v>0</v>
      </c>
      <c r="BS57" s="104">
        <v>15945049</v>
      </c>
      <c r="BT57" s="105">
        <v>0.109</v>
      </c>
      <c r="BU57" s="105">
        <v>-1.2E-2</v>
      </c>
      <c r="BV57" s="105">
        <v>9.7000000000000003E-2</v>
      </c>
      <c r="BW57" s="106">
        <v>1.8</v>
      </c>
      <c r="BX57" s="107">
        <v>33</v>
      </c>
      <c r="BY57" s="107">
        <v>44</v>
      </c>
      <c r="BZ57" s="108">
        <v>15.1</v>
      </c>
      <c r="CA57" s="109">
        <v>0.42399999999999999</v>
      </c>
      <c r="CB57" s="109">
        <v>0.78600000000000003</v>
      </c>
      <c r="CC57" s="110">
        <v>41</v>
      </c>
      <c r="CD57" s="111">
        <v>83</v>
      </c>
      <c r="CE57" s="109">
        <v>5.0999999999999997E-2</v>
      </c>
      <c r="CF57" s="104">
        <v>107078235.43000101</v>
      </c>
      <c r="CG57" s="105">
        <v>-6.3E-2</v>
      </c>
      <c r="CH57" s="105">
        <v>0.11799999999999999</v>
      </c>
      <c r="CI57" s="105">
        <v>5.5E-2</v>
      </c>
    </row>
    <row r="58" spans="1:87" s="222" customFormat="1" ht="22.8" x14ac:dyDescent="0.3">
      <c r="A58" s="57">
        <v>6546</v>
      </c>
      <c r="B58" s="57" t="s">
        <v>96</v>
      </c>
      <c r="C58" s="57" t="s">
        <v>77</v>
      </c>
      <c r="D58" s="57">
        <v>16665</v>
      </c>
      <c r="E58" s="57">
        <v>2025</v>
      </c>
      <c r="F58" s="57" t="s">
        <v>275</v>
      </c>
      <c r="G58" s="57">
        <v>2</v>
      </c>
      <c r="H58" s="57">
        <v>6</v>
      </c>
      <c r="I58" s="57" t="s">
        <v>709</v>
      </c>
      <c r="J58" s="100">
        <v>2664000</v>
      </c>
      <c r="K58" s="100">
        <v>374182000</v>
      </c>
      <c r="L58" s="100">
        <v>0</v>
      </c>
      <c r="M58" s="100">
        <v>171457000</v>
      </c>
      <c r="N58" s="100">
        <v>141601000</v>
      </c>
      <c r="O58" s="100">
        <v>0</v>
      </c>
      <c r="P58" s="100">
        <v>24346000</v>
      </c>
      <c r="Q58" s="104">
        <v>714250000</v>
      </c>
      <c r="R58" s="100">
        <v>143569000</v>
      </c>
      <c r="S58" s="100">
        <v>3356000</v>
      </c>
      <c r="T58" s="100">
        <v>0</v>
      </c>
      <c r="U58" s="100">
        <v>0</v>
      </c>
      <c r="V58" s="100">
        <v>1533246000</v>
      </c>
      <c r="W58" s="100">
        <v>1131008000</v>
      </c>
      <c r="X58" s="104">
        <v>402238000</v>
      </c>
      <c r="Y58" s="100">
        <v>34924000</v>
      </c>
      <c r="Z58" s="104">
        <v>584087000</v>
      </c>
      <c r="AA58" s="104">
        <v>1298337000</v>
      </c>
      <c r="AB58" s="100">
        <v>7645000</v>
      </c>
      <c r="AC58" s="100">
        <v>15637000</v>
      </c>
      <c r="AD58" s="100">
        <v>135330000</v>
      </c>
      <c r="AE58" s="100">
        <v>144581000</v>
      </c>
      <c r="AF58" s="104">
        <v>303193000</v>
      </c>
      <c r="AG58" s="100">
        <v>256053000</v>
      </c>
      <c r="AH58" s="100">
        <v>0</v>
      </c>
      <c r="AI58" s="100">
        <v>119789000</v>
      </c>
      <c r="AJ58" s="104">
        <v>375842000</v>
      </c>
      <c r="AK58" s="104">
        <v>679035000</v>
      </c>
      <c r="AL58" s="100">
        <v>473526000</v>
      </c>
      <c r="AM58" s="100">
        <v>59700000</v>
      </c>
      <c r="AN58" s="100">
        <v>86076000</v>
      </c>
      <c r="AO58" s="104">
        <v>619302000</v>
      </c>
      <c r="AP58" s="104">
        <v>1298337000</v>
      </c>
      <c r="AQ58" s="100">
        <v>632434000</v>
      </c>
      <c r="AR58" s="100">
        <v>0</v>
      </c>
      <c r="AS58" s="100">
        <v>49624000</v>
      </c>
      <c r="AT58" s="100">
        <v>0</v>
      </c>
      <c r="AU58" s="100">
        <v>0</v>
      </c>
      <c r="AV58" s="100">
        <v>0</v>
      </c>
      <c r="AW58" s="104">
        <v>682058000</v>
      </c>
      <c r="AX58" s="100">
        <v>5676000</v>
      </c>
      <c r="AY58" s="100">
        <v>0</v>
      </c>
      <c r="AZ58" s="100">
        <v>-13453000</v>
      </c>
      <c r="BA58" s="100">
        <v>0</v>
      </c>
      <c r="BB58" s="100">
        <v>0</v>
      </c>
      <c r="BC58" s="104">
        <v>-7777000</v>
      </c>
      <c r="BD58" s="104">
        <v>674281000</v>
      </c>
      <c r="BE58" s="100">
        <v>263692000</v>
      </c>
      <c r="BF58" s="100">
        <v>0</v>
      </c>
      <c r="BG58" s="100">
        <v>29492000</v>
      </c>
      <c r="BH58" s="100">
        <v>4575000</v>
      </c>
      <c r="BI58" s="100">
        <v>9654000</v>
      </c>
      <c r="BJ58" s="100">
        <v>291062000</v>
      </c>
      <c r="BK58" s="100">
        <v>0</v>
      </c>
      <c r="BL58" s="104">
        <v>598475000</v>
      </c>
      <c r="BM58" s="104">
        <v>75806000</v>
      </c>
      <c r="BN58" s="100">
        <v>-49214000</v>
      </c>
      <c r="BO58" s="100">
        <v>9470000</v>
      </c>
      <c r="BP58" s="100">
        <v>36062000</v>
      </c>
      <c r="BQ58" s="100">
        <v>0</v>
      </c>
      <c r="BR58" s="100">
        <v>0</v>
      </c>
      <c r="BS58" s="104">
        <v>36062000</v>
      </c>
      <c r="BT58" s="105">
        <v>0.124</v>
      </c>
      <c r="BU58" s="105">
        <v>-1.2E-2</v>
      </c>
      <c r="BV58" s="105">
        <v>0.112</v>
      </c>
      <c r="BW58" s="106">
        <v>2.4</v>
      </c>
      <c r="BX58" s="107">
        <v>49</v>
      </c>
      <c r="BY58" s="107">
        <v>92</v>
      </c>
      <c r="BZ58" s="108">
        <v>10.1</v>
      </c>
      <c r="CA58" s="109">
        <v>0.21199999999999999</v>
      </c>
      <c r="CB58" s="109">
        <v>0.47699999999999998</v>
      </c>
      <c r="CC58" s="110">
        <v>38</v>
      </c>
      <c r="CD58" s="111">
        <v>121</v>
      </c>
      <c r="CE58" s="109">
        <v>0.35099999999999998</v>
      </c>
      <c r="CF58" s="104">
        <v>-154615427</v>
      </c>
      <c r="CG58" s="105">
        <v>-4.1000000000000002E-2</v>
      </c>
      <c r="CH58" s="105">
        <v>5.0000000000000001E-3</v>
      </c>
      <c r="CI58" s="105">
        <v>-3.5999999999999997E-2</v>
      </c>
    </row>
    <row r="59" spans="1:87" s="222" customFormat="1" ht="22.8" x14ac:dyDescent="0.3">
      <c r="A59" s="14">
        <v>6547</v>
      </c>
      <c r="B59" s="14" t="s">
        <v>184</v>
      </c>
      <c r="C59" s="14" t="s">
        <v>77</v>
      </c>
      <c r="D59" s="14">
        <v>14288</v>
      </c>
      <c r="E59" s="14">
        <v>2025</v>
      </c>
      <c r="F59" s="14" t="s">
        <v>276</v>
      </c>
      <c r="G59" s="14">
        <v>3</v>
      </c>
      <c r="H59" s="14">
        <v>9</v>
      </c>
      <c r="I59" s="14" t="s">
        <v>711</v>
      </c>
      <c r="J59" s="96">
        <v>54221</v>
      </c>
      <c r="K59" s="96">
        <v>-241128</v>
      </c>
      <c r="L59" s="96">
        <v>0</v>
      </c>
      <c r="M59" s="96">
        <v>44763016</v>
      </c>
      <c r="N59" s="96">
        <v>72403411</v>
      </c>
      <c r="O59" s="96">
        <v>0</v>
      </c>
      <c r="P59" s="96">
        <v>15511881</v>
      </c>
      <c r="Q59" s="104">
        <v>132491401</v>
      </c>
      <c r="R59" s="96">
        <v>4623740</v>
      </c>
      <c r="S59" s="96">
        <v>49656</v>
      </c>
      <c r="T59" s="96">
        <v>0</v>
      </c>
      <c r="U59" s="96">
        <v>0</v>
      </c>
      <c r="V59" s="96">
        <v>72074231</v>
      </c>
      <c r="W59" s="96">
        <v>46494277</v>
      </c>
      <c r="X59" s="104">
        <v>25579954</v>
      </c>
      <c r="Y59" s="96">
        <v>31269870</v>
      </c>
      <c r="Z59" s="104">
        <v>61523220</v>
      </c>
      <c r="AA59" s="104">
        <v>194014621</v>
      </c>
      <c r="AB59" s="96">
        <v>2163319</v>
      </c>
      <c r="AC59" s="96">
        <v>5777336</v>
      </c>
      <c r="AD59" s="96">
        <v>42851923</v>
      </c>
      <c r="AE59" s="96">
        <v>18560886</v>
      </c>
      <c r="AF59" s="104">
        <v>69353464</v>
      </c>
      <c r="AG59" s="96">
        <v>98302306</v>
      </c>
      <c r="AH59" s="96">
        <v>0</v>
      </c>
      <c r="AI59" s="96">
        <v>1001096</v>
      </c>
      <c r="AJ59" s="104">
        <v>99303402</v>
      </c>
      <c r="AK59" s="104">
        <v>168656866</v>
      </c>
      <c r="AL59" s="96">
        <v>20684359</v>
      </c>
      <c r="AM59" s="96">
        <v>3546945</v>
      </c>
      <c r="AN59" s="96">
        <v>1126451</v>
      </c>
      <c r="AO59" s="104">
        <v>25357755</v>
      </c>
      <c r="AP59" s="104">
        <v>194014621</v>
      </c>
      <c r="AQ59" s="96">
        <v>215280809</v>
      </c>
      <c r="AR59" s="96">
        <v>0</v>
      </c>
      <c r="AS59" s="96">
        <v>23832882</v>
      </c>
      <c r="AT59" s="96">
        <v>0</v>
      </c>
      <c r="AU59" s="96">
        <v>0</v>
      </c>
      <c r="AV59" s="96">
        <v>62254</v>
      </c>
      <c r="AW59" s="104">
        <v>239175945</v>
      </c>
      <c r="AX59" s="96">
        <v>245269</v>
      </c>
      <c r="AY59" s="96">
        <v>56759</v>
      </c>
      <c r="AZ59" s="96"/>
      <c r="BA59" s="96">
        <v>0</v>
      </c>
      <c r="BB59" s="96">
        <v>-75700</v>
      </c>
      <c r="BC59" s="104">
        <v>226328</v>
      </c>
      <c r="BD59" s="104">
        <v>239402273</v>
      </c>
      <c r="BE59" s="96">
        <v>81010435</v>
      </c>
      <c r="BF59" s="96">
        <v>8818932</v>
      </c>
      <c r="BG59" s="96">
        <v>6103593</v>
      </c>
      <c r="BH59" s="96">
        <v>3029595</v>
      </c>
      <c r="BI59" s="96">
        <v>9074640</v>
      </c>
      <c r="BJ59" s="96">
        <v>144689347</v>
      </c>
      <c r="BK59" s="96">
        <v>0</v>
      </c>
      <c r="BL59" s="104">
        <v>252726542</v>
      </c>
      <c r="BM59" s="104">
        <v>-13324269</v>
      </c>
      <c r="BN59" s="96">
        <v>0</v>
      </c>
      <c r="BO59" s="96">
        <v>27113</v>
      </c>
      <c r="BP59" s="96">
        <v>-13297156</v>
      </c>
      <c r="BQ59" s="96">
        <v>0</v>
      </c>
      <c r="BR59" s="96">
        <v>0</v>
      </c>
      <c r="BS59" s="104">
        <v>-13297156</v>
      </c>
      <c r="BT59" s="109">
        <v>-5.7000000000000002E-2</v>
      </c>
      <c r="BU59" s="109">
        <v>1E-3</v>
      </c>
      <c r="BV59" s="109">
        <v>-5.6000000000000001E-2</v>
      </c>
      <c r="BW59" s="106">
        <v>1.9</v>
      </c>
      <c r="BX59" s="107">
        <v>57</v>
      </c>
      <c r="BY59" s="107">
        <v>71</v>
      </c>
      <c r="BZ59" s="108">
        <v>-0.8</v>
      </c>
      <c r="CA59" s="109">
        <v>-4.2999999999999997E-2</v>
      </c>
      <c r="CB59" s="109">
        <v>0.13100000000000001</v>
      </c>
      <c r="CC59" s="110">
        <v>8</v>
      </c>
      <c r="CD59" s="110"/>
      <c r="CE59" s="110"/>
      <c r="CF59" s="104">
        <v>1607</v>
      </c>
      <c r="CG59" s="105">
        <v>0</v>
      </c>
      <c r="CH59" s="105">
        <v>0</v>
      </c>
      <c r="CI59" s="105">
        <v>0</v>
      </c>
    </row>
    <row r="60" spans="1:87" s="222" customFormat="1" ht="22.8" x14ac:dyDescent="0.3">
      <c r="A60" s="57">
        <v>6755</v>
      </c>
      <c r="B60" s="57" t="s">
        <v>197</v>
      </c>
      <c r="C60" s="57" t="s">
        <v>75</v>
      </c>
      <c r="D60" s="57">
        <v>6755</v>
      </c>
      <c r="E60" s="57">
        <v>2025</v>
      </c>
      <c r="F60" s="57" t="s">
        <v>275</v>
      </c>
      <c r="G60" s="57">
        <v>2</v>
      </c>
      <c r="H60" s="57">
        <v>6</v>
      </c>
      <c r="I60" s="57" t="s">
        <v>709</v>
      </c>
      <c r="J60" s="100">
        <v>105480000</v>
      </c>
      <c r="K60" s="100">
        <v>398842000</v>
      </c>
      <c r="L60" s="100">
        <v>11486000</v>
      </c>
      <c r="M60" s="100">
        <v>447180000</v>
      </c>
      <c r="N60" s="100">
        <v>1000</v>
      </c>
      <c r="O60" s="100">
        <v>219626000</v>
      </c>
      <c r="P60" s="100">
        <v>170267000</v>
      </c>
      <c r="Q60" s="104">
        <v>1352882000</v>
      </c>
      <c r="R60" s="100">
        <v>392964000</v>
      </c>
      <c r="S60" s="100">
        <v>0</v>
      </c>
      <c r="T60" s="100">
        <v>0</v>
      </c>
      <c r="U60" s="100">
        <v>0</v>
      </c>
      <c r="V60" s="100">
        <v>2733182000</v>
      </c>
      <c r="W60" s="100">
        <v>1516829000</v>
      </c>
      <c r="X60" s="104">
        <v>1216353000</v>
      </c>
      <c r="Y60" s="100">
        <v>1172648000</v>
      </c>
      <c r="Z60" s="104">
        <v>2781965000</v>
      </c>
      <c r="AA60" s="104">
        <v>4134847000</v>
      </c>
      <c r="AB60" s="100">
        <v>37050000</v>
      </c>
      <c r="AC60" s="100">
        <v>22124000</v>
      </c>
      <c r="AD60" s="100">
        <v>0</v>
      </c>
      <c r="AE60" s="100">
        <v>737588000</v>
      </c>
      <c r="AF60" s="104">
        <v>796762000</v>
      </c>
      <c r="AG60" s="100">
        <v>1025307000</v>
      </c>
      <c r="AH60" s="100">
        <v>0</v>
      </c>
      <c r="AI60" s="100">
        <v>587912000</v>
      </c>
      <c r="AJ60" s="104">
        <v>1613219000</v>
      </c>
      <c r="AK60" s="104">
        <v>2409981000</v>
      </c>
      <c r="AL60" s="100">
        <v>1592451000</v>
      </c>
      <c r="AM60" s="100">
        <v>68352000</v>
      </c>
      <c r="AN60" s="100">
        <v>64062000</v>
      </c>
      <c r="AO60" s="104">
        <v>1724865000</v>
      </c>
      <c r="AP60" s="104">
        <v>4134846000</v>
      </c>
      <c r="AQ60" s="100">
        <v>2228995000</v>
      </c>
      <c r="AR60" s="100">
        <v>0</v>
      </c>
      <c r="AS60" s="100">
        <v>183033000</v>
      </c>
      <c r="AT60" s="100">
        <v>0</v>
      </c>
      <c r="AU60" s="100">
        <v>0</v>
      </c>
      <c r="AV60" s="100">
        <v>2587000</v>
      </c>
      <c r="AW60" s="104">
        <v>2414615000</v>
      </c>
      <c r="AX60" s="100">
        <v>30509000</v>
      </c>
      <c r="AY60" s="100">
        <v>34834000</v>
      </c>
      <c r="AZ60" s="100"/>
      <c r="BA60" s="100">
        <v>-13171000</v>
      </c>
      <c r="BB60" s="100">
        <v>0</v>
      </c>
      <c r="BC60" s="104">
        <v>52172000</v>
      </c>
      <c r="BD60" s="104">
        <v>2466787000</v>
      </c>
      <c r="BE60" s="100">
        <v>1323775000</v>
      </c>
      <c r="BF60" s="100">
        <v>0</v>
      </c>
      <c r="BG60" s="100">
        <v>80053000</v>
      </c>
      <c r="BH60" s="100">
        <v>18618000</v>
      </c>
      <c r="BI60" s="100">
        <v>38890000</v>
      </c>
      <c r="BJ60" s="100">
        <v>1030069000</v>
      </c>
      <c r="BK60" s="100">
        <v>0</v>
      </c>
      <c r="BL60" s="104">
        <v>2491405000</v>
      </c>
      <c r="BM60" s="104">
        <v>-24618000</v>
      </c>
      <c r="BN60" s="100">
        <v>0</v>
      </c>
      <c r="BO60" s="100">
        <v>314000</v>
      </c>
      <c r="BP60" s="100">
        <v>-24304000</v>
      </c>
      <c r="BQ60" s="100">
        <v>7542000</v>
      </c>
      <c r="BR60" s="100">
        <v>0</v>
      </c>
      <c r="BS60" s="104">
        <v>-16762000</v>
      </c>
      <c r="BT60" s="109">
        <v>-3.1E-2</v>
      </c>
      <c r="BU60" s="109">
        <v>2.1000000000000001E-2</v>
      </c>
      <c r="BV60" s="109">
        <v>-0.01</v>
      </c>
      <c r="BW60" s="106">
        <v>1.7</v>
      </c>
      <c r="BX60" s="107">
        <v>37</v>
      </c>
      <c r="BY60" s="107">
        <v>59</v>
      </c>
      <c r="BZ60" s="108">
        <v>1.3</v>
      </c>
      <c r="CA60" s="109">
        <v>0.03</v>
      </c>
      <c r="CB60" s="109">
        <v>0.41699999999999998</v>
      </c>
      <c r="CC60" s="110">
        <v>19</v>
      </c>
      <c r="CD60" s="110"/>
      <c r="CE60" s="110"/>
      <c r="CF60" s="104">
        <v>406000000</v>
      </c>
      <c r="CG60" s="105">
        <v>0.11700000000000001</v>
      </c>
      <c r="CH60" s="105">
        <v>-3.6999999999999998E-2</v>
      </c>
      <c r="CI60" s="105">
        <v>0.08</v>
      </c>
    </row>
    <row r="61" spans="1:87" s="222" customFormat="1" ht="22.8" x14ac:dyDescent="0.3">
      <c r="A61" s="14">
        <v>6963</v>
      </c>
      <c r="B61" s="14" t="s">
        <v>614</v>
      </c>
      <c r="C61" s="14" t="s">
        <v>77</v>
      </c>
      <c r="D61" s="14">
        <v>13158</v>
      </c>
      <c r="E61" s="14">
        <v>2025</v>
      </c>
      <c r="F61" s="14" t="s">
        <v>630</v>
      </c>
      <c r="G61" s="14">
        <v>1</v>
      </c>
      <c r="H61" s="14">
        <v>3</v>
      </c>
      <c r="I61" s="14" t="s">
        <v>710</v>
      </c>
      <c r="J61" s="96">
        <v>126589</v>
      </c>
      <c r="K61" s="96">
        <v>0</v>
      </c>
      <c r="L61" s="96">
        <v>0</v>
      </c>
      <c r="M61" s="96">
        <v>2274406</v>
      </c>
      <c r="N61" s="96">
        <v>39609</v>
      </c>
      <c r="O61" s="96">
        <v>0</v>
      </c>
      <c r="P61" s="96">
        <v>656269</v>
      </c>
      <c r="Q61" s="104">
        <v>3096873</v>
      </c>
      <c r="R61" s="96">
        <v>0</v>
      </c>
      <c r="S61" s="96">
        <v>0</v>
      </c>
      <c r="T61" s="96">
        <v>0</v>
      </c>
      <c r="U61" s="96">
        <v>0</v>
      </c>
      <c r="V61" s="96">
        <v>125884909</v>
      </c>
      <c r="W61" s="96">
        <v>88104917</v>
      </c>
      <c r="X61" s="104">
        <v>37779992</v>
      </c>
      <c r="Y61" s="96">
        <v>1628283</v>
      </c>
      <c r="Z61" s="104">
        <v>39408275</v>
      </c>
      <c r="AA61" s="104">
        <v>42505148</v>
      </c>
      <c r="AB61" s="96">
        <v>0</v>
      </c>
      <c r="AC61" s="96">
        <v>0</v>
      </c>
      <c r="AD61" s="96">
        <v>3822425</v>
      </c>
      <c r="AE61" s="96">
        <v>3770815</v>
      </c>
      <c r="AF61" s="104">
        <v>7593240</v>
      </c>
      <c r="AG61" s="96">
        <v>0</v>
      </c>
      <c r="AH61" s="96">
        <v>0</v>
      </c>
      <c r="AI61" s="96">
        <v>0</v>
      </c>
      <c r="AJ61" s="104">
        <v>0</v>
      </c>
      <c r="AK61" s="104">
        <v>7593240</v>
      </c>
      <c r="AL61" s="96">
        <v>34913908</v>
      </c>
      <c r="AM61" s="96">
        <v>0</v>
      </c>
      <c r="AN61" s="96">
        <v>0</v>
      </c>
      <c r="AO61" s="104">
        <v>34913908</v>
      </c>
      <c r="AP61" s="104">
        <v>42507148</v>
      </c>
      <c r="AQ61" s="96">
        <v>3068021</v>
      </c>
      <c r="AR61" s="96">
        <v>0</v>
      </c>
      <c r="AS61" s="96">
        <v>1742436</v>
      </c>
      <c r="AT61" s="96">
        <v>0</v>
      </c>
      <c r="AU61" s="96">
        <v>0</v>
      </c>
      <c r="AV61" s="96">
        <v>0</v>
      </c>
      <c r="AW61" s="104">
        <v>4810457</v>
      </c>
      <c r="AX61" s="96">
        <v>0</v>
      </c>
      <c r="AY61" s="96">
        <v>0</v>
      </c>
      <c r="AZ61" s="96"/>
      <c r="BA61" s="96">
        <v>0</v>
      </c>
      <c r="BB61" s="96">
        <v>0</v>
      </c>
      <c r="BC61" s="104">
        <v>0</v>
      </c>
      <c r="BD61" s="104">
        <v>4810457</v>
      </c>
      <c r="BE61" s="96">
        <v>4571991</v>
      </c>
      <c r="BF61" s="96">
        <v>0</v>
      </c>
      <c r="BG61" s="96">
        <v>856292</v>
      </c>
      <c r="BH61" s="96">
        <v>0</v>
      </c>
      <c r="BI61" s="96">
        <v>173373</v>
      </c>
      <c r="BJ61" s="96">
        <v>5331837</v>
      </c>
      <c r="BK61" s="96">
        <v>0</v>
      </c>
      <c r="BL61" s="104">
        <v>10933493</v>
      </c>
      <c r="BM61" s="104">
        <v>-6123036</v>
      </c>
      <c r="BN61" s="96">
        <v>0</v>
      </c>
      <c r="BO61" s="96">
        <v>0</v>
      </c>
      <c r="BP61" s="96">
        <v>-6123036</v>
      </c>
      <c r="BQ61" s="96">
        <v>0</v>
      </c>
      <c r="BR61" s="96">
        <v>0</v>
      </c>
      <c r="BS61" s="104">
        <v>-6123036</v>
      </c>
      <c r="BT61" s="109">
        <v>-1.2729999999999999</v>
      </c>
      <c r="BU61" s="109">
        <v>0</v>
      </c>
      <c r="BV61" s="109">
        <v>-1.2729999999999999</v>
      </c>
      <c r="BW61" s="106">
        <v>0.4</v>
      </c>
      <c r="BX61" s="107">
        <v>68</v>
      </c>
      <c r="BY61" s="107">
        <v>69</v>
      </c>
      <c r="BZ61" s="108">
        <v>0</v>
      </c>
      <c r="CA61" s="109">
        <v>-0.69399999999999995</v>
      </c>
      <c r="CB61" s="109">
        <v>0.82099999999999995</v>
      </c>
      <c r="CC61" s="110">
        <v>103</v>
      </c>
      <c r="CD61" s="110"/>
      <c r="CE61" s="110"/>
      <c r="CF61" s="104">
        <v>-28593000</v>
      </c>
      <c r="CG61" s="105">
        <v>-0.10299999999999999</v>
      </c>
      <c r="CH61" s="105">
        <v>6.0000000000000001E-3</v>
      </c>
      <c r="CI61" s="105">
        <v>-9.8000000000000004E-2</v>
      </c>
    </row>
    <row r="62" spans="1:87" s="222" customFormat="1" ht="22.8" x14ac:dyDescent="0.3">
      <c r="A62" s="57">
        <v>7895</v>
      </c>
      <c r="B62" s="57" t="s">
        <v>195</v>
      </c>
      <c r="C62" s="57" t="s">
        <v>83</v>
      </c>
      <c r="D62" s="57">
        <v>12775</v>
      </c>
      <c r="E62" s="57">
        <v>2025</v>
      </c>
      <c r="F62" s="57" t="s">
        <v>275</v>
      </c>
      <c r="G62" s="57">
        <v>2</v>
      </c>
      <c r="H62" s="57">
        <v>6</v>
      </c>
      <c r="I62" s="57" t="s">
        <v>709</v>
      </c>
      <c r="J62" s="100">
        <v>0</v>
      </c>
      <c r="K62" s="100">
        <v>0</v>
      </c>
      <c r="L62" s="100">
        <v>0</v>
      </c>
      <c r="M62" s="100">
        <v>0</v>
      </c>
      <c r="N62" s="100">
        <v>0</v>
      </c>
      <c r="O62" s="100">
        <v>0</v>
      </c>
      <c r="P62" s="100">
        <v>0</v>
      </c>
      <c r="Q62" s="104">
        <v>0</v>
      </c>
      <c r="R62" s="100">
        <v>0</v>
      </c>
      <c r="S62" s="100">
        <v>0</v>
      </c>
      <c r="T62" s="100">
        <v>0</v>
      </c>
      <c r="U62" s="100">
        <v>0</v>
      </c>
      <c r="V62" s="100">
        <v>0</v>
      </c>
      <c r="W62" s="100">
        <v>0</v>
      </c>
      <c r="X62" s="104">
        <v>0</v>
      </c>
      <c r="Y62" s="100">
        <v>0</v>
      </c>
      <c r="Z62" s="104">
        <v>0</v>
      </c>
      <c r="AA62" s="104">
        <v>0</v>
      </c>
      <c r="AB62" s="100">
        <v>0</v>
      </c>
      <c r="AC62" s="100">
        <v>0</v>
      </c>
      <c r="AD62" s="100">
        <v>0</v>
      </c>
      <c r="AE62" s="100">
        <v>0</v>
      </c>
      <c r="AF62" s="104">
        <v>0</v>
      </c>
      <c r="AG62" s="100">
        <v>0</v>
      </c>
      <c r="AH62" s="100">
        <v>0</v>
      </c>
      <c r="AI62" s="100">
        <v>0</v>
      </c>
      <c r="AJ62" s="104">
        <v>0</v>
      </c>
      <c r="AK62" s="104">
        <v>0</v>
      </c>
      <c r="AL62" s="100">
        <v>0</v>
      </c>
      <c r="AM62" s="100">
        <v>0</v>
      </c>
      <c r="AN62" s="100">
        <v>0</v>
      </c>
      <c r="AO62" s="104">
        <v>0</v>
      </c>
      <c r="AP62" s="104">
        <v>0</v>
      </c>
      <c r="AQ62" s="100">
        <v>22985000</v>
      </c>
      <c r="AR62" s="100">
        <v>0</v>
      </c>
      <c r="AS62" s="100">
        <v>8214000</v>
      </c>
      <c r="AT62" s="100">
        <v>0</v>
      </c>
      <c r="AU62" s="100">
        <v>0</v>
      </c>
      <c r="AV62" s="100">
        <v>0</v>
      </c>
      <c r="AW62" s="104">
        <v>31199000</v>
      </c>
      <c r="AX62" s="100">
        <v>0</v>
      </c>
      <c r="AY62" s="100">
        <v>0</v>
      </c>
      <c r="AZ62" s="100">
        <v>0</v>
      </c>
      <c r="BA62" s="100">
        <v>0</v>
      </c>
      <c r="BB62" s="100">
        <v>0</v>
      </c>
      <c r="BC62" s="104">
        <v>0</v>
      </c>
      <c r="BD62" s="104">
        <v>31199000</v>
      </c>
      <c r="BE62" s="100">
        <v>27336000</v>
      </c>
      <c r="BF62" s="100">
        <v>0</v>
      </c>
      <c r="BG62" s="100">
        <v>148000</v>
      </c>
      <c r="BH62" s="100">
        <v>0</v>
      </c>
      <c r="BI62" s="100">
        <v>0</v>
      </c>
      <c r="BJ62" s="100">
        <v>5712000</v>
      </c>
      <c r="BK62" s="100">
        <v>0</v>
      </c>
      <c r="BL62" s="104">
        <v>33196000</v>
      </c>
      <c r="BM62" s="104">
        <v>-1997000</v>
      </c>
      <c r="BN62" s="100">
        <v>3216000</v>
      </c>
      <c r="BO62" s="100">
        <v>0</v>
      </c>
      <c r="BP62" s="100">
        <v>1219000</v>
      </c>
      <c r="BQ62" s="100">
        <v>0</v>
      </c>
      <c r="BR62" s="100">
        <v>0</v>
      </c>
      <c r="BS62" s="104">
        <v>1219000</v>
      </c>
      <c r="BT62" s="105">
        <v>-6.4000000000000001E-2</v>
      </c>
      <c r="BU62" s="105">
        <v>0</v>
      </c>
      <c r="BV62" s="105">
        <v>-6.4000000000000001E-2</v>
      </c>
      <c r="BW62" s="106">
        <v>0</v>
      </c>
      <c r="BX62" s="107">
        <v>0</v>
      </c>
      <c r="BY62" s="107">
        <v>0</v>
      </c>
      <c r="BZ62" s="108">
        <v>0</v>
      </c>
      <c r="CA62" s="109">
        <v>0</v>
      </c>
      <c r="CB62" s="109">
        <v>0</v>
      </c>
      <c r="CC62" s="110">
        <v>0</v>
      </c>
      <c r="CD62" s="111">
        <v>0</v>
      </c>
      <c r="CE62" s="109">
        <v>0</v>
      </c>
      <c r="CF62" s="104">
        <v>-41103000</v>
      </c>
      <c r="CG62" s="105">
        <v>-0.03</v>
      </c>
      <c r="CH62" s="105">
        <v>2E-3</v>
      </c>
      <c r="CI62" s="105">
        <v>-2.8000000000000001E-2</v>
      </c>
    </row>
    <row r="63" spans="1:87" s="222" customFormat="1" ht="22.8" x14ac:dyDescent="0.3">
      <c r="A63" s="14">
        <v>8644</v>
      </c>
      <c r="B63" s="14" t="s">
        <v>156</v>
      </c>
      <c r="C63" s="14" t="s">
        <v>83</v>
      </c>
      <c r="D63" s="14">
        <v>3791</v>
      </c>
      <c r="E63" s="14">
        <v>2025</v>
      </c>
      <c r="F63" s="14" t="s">
        <v>275</v>
      </c>
      <c r="G63" s="14">
        <v>2</v>
      </c>
      <c r="H63" s="14">
        <v>6</v>
      </c>
      <c r="I63" s="14" t="s">
        <v>709</v>
      </c>
      <c r="J63" s="96">
        <v>0</v>
      </c>
      <c r="K63" s="96">
        <v>0</v>
      </c>
      <c r="L63" s="96">
        <v>0</v>
      </c>
      <c r="M63" s="96">
        <v>0</v>
      </c>
      <c r="N63" s="96">
        <v>0</v>
      </c>
      <c r="O63" s="96">
        <v>0</v>
      </c>
      <c r="P63" s="96">
        <v>0</v>
      </c>
      <c r="Q63" s="104">
        <v>0</v>
      </c>
      <c r="R63" s="96">
        <v>0</v>
      </c>
      <c r="S63" s="96">
        <v>0</v>
      </c>
      <c r="T63" s="96">
        <v>0</v>
      </c>
      <c r="U63" s="96">
        <v>0</v>
      </c>
      <c r="V63" s="96">
        <v>0</v>
      </c>
      <c r="W63" s="96">
        <v>0</v>
      </c>
      <c r="X63" s="104">
        <v>0</v>
      </c>
      <c r="Y63" s="96">
        <v>0</v>
      </c>
      <c r="Z63" s="104">
        <v>0</v>
      </c>
      <c r="AA63" s="104">
        <v>0</v>
      </c>
      <c r="AB63" s="96">
        <v>0</v>
      </c>
      <c r="AC63" s="96">
        <v>0</v>
      </c>
      <c r="AD63" s="96">
        <v>0</v>
      </c>
      <c r="AE63" s="96">
        <v>0</v>
      </c>
      <c r="AF63" s="104">
        <v>0</v>
      </c>
      <c r="AG63" s="96">
        <v>0</v>
      </c>
      <c r="AH63" s="96">
        <v>0</v>
      </c>
      <c r="AI63" s="96">
        <v>0</v>
      </c>
      <c r="AJ63" s="104">
        <v>0</v>
      </c>
      <c r="AK63" s="104">
        <v>0</v>
      </c>
      <c r="AL63" s="96">
        <v>0</v>
      </c>
      <c r="AM63" s="96">
        <v>0</v>
      </c>
      <c r="AN63" s="96">
        <v>0</v>
      </c>
      <c r="AO63" s="104">
        <v>0</v>
      </c>
      <c r="AP63" s="104">
        <v>0</v>
      </c>
      <c r="AQ63" s="96">
        <v>47890000</v>
      </c>
      <c r="AR63" s="96">
        <v>0</v>
      </c>
      <c r="AS63" s="96">
        <v>18390000</v>
      </c>
      <c r="AT63" s="96">
        <v>0</v>
      </c>
      <c r="AU63" s="96">
        <v>0</v>
      </c>
      <c r="AV63" s="96">
        <v>0</v>
      </c>
      <c r="AW63" s="104">
        <v>66280000</v>
      </c>
      <c r="AX63" s="96">
        <v>121000</v>
      </c>
      <c r="AY63" s="96">
        <v>0</v>
      </c>
      <c r="AZ63" s="96">
        <v>0</v>
      </c>
      <c r="BA63" s="96">
        <v>0</v>
      </c>
      <c r="BB63" s="96">
        <v>0</v>
      </c>
      <c r="BC63" s="104">
        <v>121000</v>
      </c>
      <c r="BD63" s="104">
        <v>66401000</v>
      </c>
      <c r="BE63" s="96">
        <v>57514000</v>
      </c>
      <c r="BF63" s="96">
        <v>0</v>
      </c>
      <c r="BG63" s="96">
        <v>731000</v>
      </c>
      <c r="BH63" s="96">
        <v>0</v>
      </c>
      <c r="BI63" s="96">
        <v>0</v>
      </c>
      <c r="BJ63" s="96">
        <v>17560000</v>
      </c>
      <c r="BK63" s="96">
        <v>0</v>
      </c>
      <c r="BL63" s="104">
        <v>75805000</v>
      </c>
      <c r="BM63" s="104">
        <v>-9404000</v>
      </c>
      <c r="BN63" s="96">
        <v>-5105000</v>
      </c>
      <c r="BO63" s="96">
        <v>0</v>
      </c>
      <c r="BP63" s="96">
        <v>-14509000</v>
      </c>
      <c r="BQ63" s="96">
        <v>0</v>
      </c>
      <c r="BR63" s="96">
        <v>0</v>
      </c>
      <c r="BS63" s="104">
        <v>-14509000</v>
      </c>
      <c r="BT63" s="105">
        <v>-0.14299999999999999</v>
      </c>
      <c r="BU63" s="105">
        <v>2E-3</v>
      </c>
      <c r="BV63" s="105">
        <v>-0.14199999999999999</v>
      </c>
      <c r="BW63" s="106">
        <v>0</v>
      </c>
      <c r="BX63" s="107">
        <v>0</v>
      </c>
      <c r="BY63" s="107">
        <v>0</v>
      </c>
      <c r="BZ63" s="108">
        <v>0</v>
      </c>
      <c r="CA63" s="109">
        <v>0</v>
      </c>
      <c r="CB63" s="109">
        <v>0</v>
      </c>
      <c r="CC63" s="110">
        <v>0</v>
      </c>
      <c r="CD63" s="111">
        <v>0</v>
      </c>
      <c r="CE63" s="109">
        <v>0</v>
      </c>
      <c r="CF63" s="104">
        <v>75719000</v>
      </c>
      <c r="CG63" s="105">
        <v>3.0000000000000001E-3</v>
      </c>
      <c r="CH63" s="105">
        <v>1.2999999999999999E-2</v>
      </c>
      <c r="CI63" s="105">
        <v>1.6E-2</v>
      </c>
    </row>
    <row r="64" spans="1:87" s="222" customFormat="1" ht="22.8" x14ac:dyDescent="0.3">
      <c r="A64" s="14">
        <v>8655</v>
      </c>
      <c r="B64" s="14" t="s">
        <v>109</v>
      </c>
      <c r="C64" s="14" t="s">
        <v>83</v>
      </c>
      <c r="D64" s="14">
        <v>16665</v>
      </c>
      <c r="E64" s="14">
        <v>2025</v>
      </c>
      <c r="F64" s="14" t="s">
        <v>275</v>
      </c>
      <c r="G64" s="14">
        <v>2</v>
      </c>
      <c r="H64" s="14">
        <v>6</v>
      </c>
      <c r="I64" s="14" t="s">
        <v>709</v>
      </c>
      <c r="J64" s="96">
        <v>0</v>
      </c>
      <c r="K64" s="96">
        <v>0</v>
      </c>
      <c r="L64" s="96">
        <v>0</v>
      </c>
      <c r="M64" s="96">
        <v>0</v>
      </c>
      <c r="N64" s="96">
        <v>0</v>
      </c>
      <c r="O64" s="96">
        <v>0</v>
      </c>
      <c r="P64" s="96">
        <v>0</v>
      </c>
      <c r="Q64" s="104">
        <v>0</v>
      </c>
      <c r="R64" s="96">
        <v>0</v>
      </c>
      <c r="S64" s="96">
        <v>0</v>
      </c>
      <c r="T64" s="96">
        <v>0</v>
      </c>
      <c r="U64" s="96">
        <v>0</v>
      </c>
      <c r="V64" s="96">
        <v>0</v>
      </c>
      <c r="W64" s="96">
        <v>0</v>
      </c>
      <c r="X64" s="104">
        <v>0</v>
      </c>
      <c r="Y64" s="96">
        <v>0</v>
      </c>
      <c r="Z64" s="104">
        <v>0</v>
      </c>
      <c r="AA64" s="104">
        <v>0</v>
      </c>
      <c r="AB64" s="96">
        <v>0</v>
      </c>
      <c r="AC64" s="96">
        <v>0</v>
      </c>
      <c r="AD64" s="96">
        <v>0</v>
      </c>
      <c r="AE64" s="96">
        <v>0</v>
      </c>
      <c r="AF64" s="104">
        <v>0</v>
      </c>
      <c r="AG64" s="96">
        <v>0</v>
      </c>
      <c r="AH64" s="96">
        <v>0</v>
      </c>
      <c r="AI64" s="96">
        <v>0</v>
      </c>
      <c r="AJ64" s="104">
        <v>0</v>
      </c>
      <c r="AK64" s="104">
        <v>0</v>
      </c>
      <c r="AL64" s="96">
        <v>0</v>
      </c>
      <c r="AM64" s="96">
        <v>0</v>
      </c>
      <c r="AN64" s="96">
        <v>0</v>
      </c>
      <c r="AO64" s="104">
        <v>0</v>
      </c>
      <c r="AP64" s="104">
        <v>0</v>
      </c>
      <c r="AQ64" s="96">
        <v>4037000</v>
      </c>
      <c r="AR64" s="96">
        <v>0</v>
      </c>
      <c r="AS64" s="96">
        <v>98000</v>
      </c>
      <c r="AT64" s="96">
        <v>0</v>
      </c>
      <c r="AU64" s="96">
        <v>0</v>
      </c>
      <c r="AV64" s="96">
        <v>0</v>
      </c>
      <c r="AW64" s="104">
        <v>4135000</v>
      </c>
      <c r="AX64" s="96">
        <v>0</v>
      </c>
      <c r="AY64" s="96">
        <v>0</v>
      </c>
      <c r="AZ64" s="96">
        <v>0</v>
      </c>
      <c r="BA64" s="96">
        <v>0</v>
      </c>
      <c r="BB64" s="96">
        <v>0</v>
      </c>
      <c r="BC64" s="104">
        <v>0</v>
      </c>
      <c r="BD64" s="104">
        <v>4135000</v>
      </c>
      <c r="BE64" s="96">
        <v>8562000</v>
      </c>
      <c r="BF64" s="96">
        <v>0</v>
      </c>
      <c r="BG64" s="96">
        <v>56000</v>
      </c>
      <c r="BH64" s="96">
        <v>0</v>
      </c>
      <c r="BI64" s="96">
        <v>0</v>
      </c>
      <c r="BJ64" s="96">
        <v>692000</v>
      </c>
      <c r="BK64" s="96">
        <v>0</v>
      </c>
      <c r="BL64" s="104">
        <v>9310000</v>
      </c>
      <c r="BM64" s="104">
        <v>-5175000</v>
      </c>
      <c r="BN64" s="96">
        <v>0</v>
      </c>
      <c r="BO64" s="96">
        <v>0</v>
      </c>
      <c r="BP64" s="96">
        <v>-5175000</v>
      </c>
      <c r="BQ64" s="96">
        <v>0</v>
      </c>
      <c r="BR64" s="96">
        <v>0</v>
      </c>
      <c r="BS64" s="104">
        <v>-5175000</v>
      </c>
      <c r="BT64" s="105">
        <v>-1.252</v>
      </c>
      <c r="BU64" s="105">
        <v>0</v>
      </c>
      <c r="BV64" s="105">
        <v>-1.252</v>
      </c>
      <c r="BW64" s="106">
        <v>0</v>
      </c>
      <c r="BX64" s="107">
        <v>0</v>
      </c>
      <c r="BY64" s="107">
        <v>0</v>
      </c>
      <c r="BZ64" s="108">
        <v>0</v>
      </c>
      <c r="CA64" s="109">
        <v>0</v>
      </c>
      <c r="CB64" s="109">
        <v>0</v>
      </c>
      <c r="CC64" s="110">
        <v>0</v>
      </c>
      <c r="CD64" s="111">
        <v>0</v>
      </c>
      <c r="CE64" s="109">
        <v>0</v>
      </c>
      <c r="CF64" s="104">
        <v>18985000</v>
      </c>
      <c r="CG64" s="105">
        <v>1.2E-2</v>
      </c>
      <c r="CH64" s="105">
        <v>-4.0000000000000001E-3</v>
      </c>
      <c r="CI64" s="105">
        <v>8.9999999999999993E-3</v>
      </c>
    </row>
    <row r="65" spans="1:87" s="222" customFormat="1" ht="22.8" x14ac:dyDescent="0.3">
      <c r="A65" s="57">
        <v>8701</v>
      </c>
      <c r="B65" s="57" t="s">
        <v>692</v>
      </c>
      <c r="C65" s="57" t="s">
        <v>77</v>
      </c>
      <c r="D65" s="57">
        <v>14287</v>
      </c>
      <c r="E65" s="57">
        <v>2025</v>
      </c>
      <c r="F65" s="57" t="s">
        <v>275</v>
      </c>
      <c r="G65" s="57">
        <v>2</v>
      </c>
      <c r="H65" s="57">
        <v>6</v>
      </c>
      <c r="I65" s="57" t="s">
        <v>709</v>
      </c>
      <c r="J65" s="100">
        <v>20139722</v>
      </c>
      <c r="K65" s="100">
        <v>0</v>
      </c>
      <c r="L65" s="100">
        <v>0</v>
      </c>
      <c r="M65" s="100">
        <v>52258237</v>
      </c>
      <c r="N65" s="100">
        <v>0</v>
      </c>
      <c r="O65" s="100">
        <v>-48760868</v>
      </c>
      <c r="P65" s="100">
        <v>9017726</v>
      </c>
      <c r="Q65" s="104">
        <v>32654817</v>
      </c>
      <c r="R65" s="100">
        <v>0</v>
      </c>
      <c r="S65" s="100">
        <v>0</v>
      </c>
      <c r="T65" s="100">
        <v>0</v>
      </c>
      <c r="U65" s="100">
        <v>0</v>
      </c>
      <c r="V65" s="100">
        <v>135949000</v>
      </c>
      <c r="W65" s="100">
        <v>2844177</v>
      </c>
      <c r="X65" s="104">
        <v>133104823</v>
      </c>
      <c r="Y65" s="100">
        <v>21622921</v>
      </c>
      <c r="Z65" s="104">
        <v>154727744</v>
      </c>
      <c r="AA65" s="104">
        <v>187382561</v>
      </c>
      <c r="AB65" s="100">
        <v>1467561</v>
      </c>
      <c r="AC65" s="100">
        <v>0</v>
      </c>
      <c r="AD65" s="100">
        <v>20000000</v>
      </c>
      <c r="AE65" s="100">
        <v>42126304</v>
      </c>
      <c r="AF65" s="104">
        <v>63593865</v>
      </c>
      <c r="AG65" s="100">
        <v>10684210</v>
      </c>
      <c r="AH65" s="100">
        <v>0</v>
      </c>
      <c r="AI65" s="100">
        <v>146895833</v>
      </c>
      <c r="AJ65" s="104">
        <v>157580043</v>
      </c>
      <c r="AK65" s="104">
        <v>221173908</v>
      </c>
      <c r="AL65" s="100">
        <v>-33791347</v>
      </c>
      <c r="AM65" s="100">
        <v>0</v>
      </c>
      <c r="AN65" s="100">
        <v>0</v>
      </c>
      <c r="AO65" s="104">
        <v>-33791347</v>
      </c>
      <c r="AP65" s="104">
        <v>187382561</v>
      </c>
      <c r="AQ65" s="100">
        <v>144184220</v>
      </c>
      <c r="AR65" s="100">
        <v>0</v>
      </c>
      <c r="AS65" s="100">
        <v>559838</v>
      </c>
      <c r="AT65" s="100">
        <v>0</v>
      </c>
      <c r="AU65" s="100">
        <v>0</v>
      </c>
      <c r="AV65" s="100">
        <v>0</v>
      </c>
      <c r="AW65" s="104">
        <v>144744058</v>
      </c>
      <c r="AX65" s="100">
        <v>99560</v>
      </c>
      <c r="AY65" s="100">
        <v>0</v>
      </c>
      <c r="AZ65" s="100">
        <v>0</v>
      </c>
      <c r="BA65" s="100">
        <v>0</v>
      </c>
      <c r="BB65" s="100">
        <v>0</v>
      </c>
      <c r="BC65" s="104">
        <v>99560</v>
      </c>
      <c r="BD65" s="104">
        <v>144843618</v>
      </c>
      <c r="BE65" s="100">
        <v>110577595</v>
      </c>
      <c r="BF65" s="100">
        <v>0</v>
      </c>
      <c r="BG65" s="100">
        <v>3089677</v>
      </c>
      <c r="BH65" s="100">
        <v>0</v>
      </c>
      <c r="BI65" s="100">
        <v>12586830</v>
      </c>
      <c r="BJ65" s="100">
        <v>52380622</v>
      </c>
      <c r="BK65" s="100">
        <v>0</v>
      </c>
      <c r="BL65" s="104">
        <v>178634724</v>
      </c>
      <c r="BM65" s="104">
        <v>-33791106</v>
      </c>
      <c r="BN65" s="100">
        <v>0</v>
      </c>
      <c r="BO65" s="100">
        <v>0</v>
      </c>
      <c r="BP65" s="100">
        <v>-33791106</v>
      </c>
      <c r="BQ65" s="100">
        <v>0</v>
      </c>
      <c r="BR65" s="100">
        <v>0</v>
      </c>
      <c r="BS65" s="104">
        <v>-33791106</v>
      </c>
      <c r="BT65" s="105">
        <v>-0.23400000000000001</v>
      </c>
      <c r="BU65" s="105">
        <v>1E-3</v>
      </c>
      <c r="BV65" s="105">
        <v>-0.23300000000000001</v>
      </c>
      <c r="BW65" s="106">
        <v>0.5</v>
      </c>
      <c r="BX65" s="107">
        <v>66</v>
      </c>
      <c r="BY65" s="107">
        <v>66</v>
      </c>
      <c r="BZ65" s="108">
        <v>-20.9</v>
      </c>
      <c r="CA65" s="109">
        <v>-0.41299999999999998</v>
      </c>
      <c r="CB65" s="109">
        <v>-0.18</v>
      </c>
      <c r="CC65" s="110">
        <v>1</v>
      </c>
      <c r="CD65" s="111">
        <v>21</v>
      </c>
      <c r="CE65" s="109">
        <v>-0.46200000000000002</v>
      </c>
      <c r="CF65" s="104">
        <v>287226000</v>
      </c>
      <c r="CG65" s="105">
        <v>-0.01</v>
      </c>
      <c r="CH65" s="105">
        <v>3.5999999999999997E-2</v>
      </c>
      <c r="CI65" s="105">
        <v>2.5000000000000001E-2</v>
      </c>
    </row>
    <row r="66" spans="1:87" s="222" customFormat="1" ht="22.8" x14ac:dyDescent="0.3">
      <c r="A66" s="57">
        <v>8702</v>
      </c>
      <c r="B66" s="57" t="s">
        <v>95</v>
      </c>
      <c r="C66" s="57" t="s">
        <v>77</v>
      </c>
      <c r="D66" s="57">
        <v>16665</v>
      </c>
      <c r="E66" s="57">
        <v>2025</v>
      </c>
      <c r="F66" s="57" t="s">
        <v>275</v>
      </c>
      <c r="G66" s="57">
        <v>2</v>
      </c>
      <c r="H66" s="57">
        <v>6</v>
      </c>
      <c r="I66" s="57" t="s">
        <v>709</v>
      </c>
      <c r="J66" s="100">
        <v>-4896000</v>
      </c>
      <c r="K66" s="100">
        <v>717388000</v>
      </c>
      <c r="L66" s="100">
        <v>0</v>
      </c>
      <c r="M66" s="100">
        <v>346176000</v>
      </c>
      <c r="N66" s="100">
        <v>757157000</v>
      </c>
      <c r="O66" s="100">
        <v>0</v>
      </c>
      <c r="P66" s="100">
        <v>143894000</v>
      </c>
      <c r="Q66" s="104">
        <v>1959719000</v>
      </c>
      <c r="R66" s="100">
        <v>429162000</v>
      </c>
      <c r="S66" s="100">
        <v>41380000</v>
      </c>
      <c r="T66" s="100">
        <v>0</v>
      </c>
      <c r="U66" s="100">
        <v>0</v>
      </c>
      <c r="V66" s="100">
        <v>3672600000</v>
      </c>
      <c r="W66" s="100">
        <v>2425389000</v>
      </c>
      <c r="X66" s="104">
        <v>1247211000</v>
      </c>
      <c r="Y66" s="100">
        <v>424692000</v>
      </c>
      <c r="Z66" s="104">
        <v>2142445000</v>
      </c>
      <c r="AA66" s="104">
        <v>4102164000</v>
      </c>
      <c r="AB66" s="100">
        <v>5034000</v>
      </c>
      <c r="AC66" s="100">
        <v>-92000</v>
      </c>
      <c r="AD66" s="100">
        <v>0</v>
      </c>
      <c r="AE66" s="100">
        <v>545891000</v>
      </c>
      <c r="AF66" s="104">
        <v>550833000</v>
      </c>
      <c r="AG66" s="100">
        <v>1351868000</v>
      </c>
      <c r="AH66" s="100">
        <v>0</v>
      </c>
      <c r="AI66" s="100">
        <v>508379000</v>
      </c>
      <c r="AJ66" s="104">
        <v>1860247000</v>
      </c>
      <c r="AK66" s="104">
        <v>2411080000</v>
      </c>
      <c r="AL66" s="100">
        <v>1291836000</v>
      </c>
      <c r="AM66" s="100">
        <v>297079000</v>
      </c>
      <c r="AN66" s="100">
        <v>102169000</v>
      </c>
      <c r="AO66" s="104">
        <v>1691084000</v>
      </c>
      <c r="AP66" s="104">
        <v>4102164000</v>
      </c>
      <c r="AQ66" s="100">
        <v>1167295000</v>
      </c>
      <c r="AR66" s="100">
        <v>0</v>
      </c>
      <c r="AS66" s="100">
        <v>464483000</v>
      </c>
      <c r="AT66" s="100">
        <v>0</v>
      </c>
      <c r="AU66" s="100">
        <v>0</v>
      </c>
      <c r="AV66" s="100">
        <v>0</v>
      </c>
      <c r="AW66" s="104">
        <v>1631778000</v>
      </c>
      <c r="AX66" s="100">
        <v>14665000</v>
      </c>
      <c r="AY66" s="100">
        <v>0</v>
      </c>
      <c r="AZ66" s="100">
        <v>12575000</v>
      </c>
      <c r="BA66" s="100">
        <v>-7302000</v>
      </c>
      <c r="BB66" s="100">
        <v>0</v>
      </c>
      <c r="BC66" s="104">
        <v>19938000</v>
      </c>
      <c r="BD66" s="104">
        <v>1651716000</v>
      </c>
      <c r="BE66" s="100">
        <v>481348000</v>
      </c>
      <c r="BF66" s="100">
        <v>0</v>
      </c>
      <c r="BG66" s="100">
        <v>55472000</v>
      </c>
      <c r="BH66" s="100">
        <v>29066000</v>
      </c>
      <c r="BI66" s="100">
        <v>16250000</v>
      </c>
      <c r="BJ66" s="100">
        <v>987271000</v>
      </c>
      <c r="BK66" s="100">
        <v>0</v>
      </c>
      <c r="BL66" s="104">
        <v>1569407000</v>
      </c>
      <c r="BM66" s="104">
        <v>82309000</v>
      </c>
      <c r="BN66" s="100">
        <v>-21827000</v>
      </c>
      <c r="BO66" s="100">
        <v>0</v>
      </c>
      <c r="BP66" s="100">
        <v>60482000</v>
      </c>
      <c r="BQ66" s="100">
        <v>0</v>
      </c>
      <c r="BR66" s="100">
        <v>0</v>
      </c>
      <c r="BS66" s="104">
        <v>60482000</v>
      </c>
      <c r="BT66" s="105">
        <v>3.7999999999999999E-2</v>
      </c>
      <c r="BU66" s="105">
        <v>1.2E-2</v>
      </c>
      <c r="BV66" s="105">
        <v>0.05</v>
      </c>
      <c r="BW66" s="106">
        <v>3.6</v>
      </c>
      <c r="BX66" s="107">
        <v>54</v>
      </c>
      <c r="BY66" s="107">
        <v>66</v>
      </c>
      <c r="BZ66" s="108">
        <v>4.5</v>
      </c>
      <c r="CA66" s="109">
        <v>6.6000000000000003E-2</v>
      </c>
      <c r="CB66" s="109">
        <v>0.41199999999999998</v>
      </c>
      <c r="CC66" s="110">
        <v>44</v>
      </c>
      <c r="CD66" s="111">
        <v>86</v>
      </c>
      <c r="CE66" s="109">
        <v>0.51100000000000001</v>
      </c>
      <c r="CF66" s="104">
        <v>-9971318</v>
      </c>
      <c r="CG66" s="105">
        <v>-0.28999999999999998</v>
      </c>
      <c r="CH66" s="105">
        <v>1E-3</v>
      </c>
      <c r="CI66" s="105">
        <v>-0.28899999999999998</v>
      </c>
    </row>
    <row r="67" spans="1:87" s="222" customFormat="1" ht="22.8" x14ac:dyDescent="0.3">
      <c r="A67" s="57">
        <v>8745</v>
      </c>
      <c r="B67" s="57" t="s">
        <v>158</v>
      </c>
      <c r="C67" s="57" t="s">
        <v>83</v>
      </c>
      <c r="D67" s="57">
        <v>3791</v>
      </c>
      <c r="E67" s="57">
        <v>2025</v>
      </c>
      <c r="F67" s="57" t="s">
        <v>275</v>
      </c>
      <c r="G67" s="57">
        <v>2</v>
      </c>
      <c r="H67" s="57">
        <v>6</v>
      </c>
      <c r="I67" s="57" t="s">
        <v>709</v>
      </c>
      <c r="J67" s="100">
        <v>0</v>
      </c>
      <c r="K67" s="100">
        <v>0</v>
      </c>
      <c r="L67" s="100">
        <v>0</v>
      </c>
      <c r="M67" s="100">
        <v>0</v>
      </c>
      <c r="N67" s="100">
        <v>0</v>
      </c>
      <c r="O67" s="100">
        <v>0</v>
      </c>
      <c r="P67" s="100">
        <v>0</v>
      </c>
      <c r="Q67" s="104">
        <v>0</v>
      </c>
      <c r="R67" s="100">
        <v>0</v>
      </c>
      <c r="S67" s="100">
        <v>0</v>
      </c>
      <c r="T67" s="100">
        <v>0</v>
      </c>
      <c r="U67" s="100">
        <v>0</v>
      </c>
      <c r="V67" s="100">
        <v>0</v>
      </c>
      <c r="W67" s="100">
        <v>0</v>
      </c>
      <c r="X67" s="104">
        <v>0</v>
      </c>
      <c r="Y67" s="100">
        <v>0</v>
      </c>
      <c r="Z67" s="104">
        <v>0</v>
      </c>
      <c r="AA67" s="104">
        <v>0</v>
      </c>
      <c r="AB67" s="100">
        <v>0</v>
      </c>
      <c r="AC67" s="100">
        <v>0</v>
      </c>
      <c r="AD67" s="100">
        <v>0</v>
      </c>
      <c r="AE67" s="100">
        <v>0</v>
      </c>
      <c r="AF67" s="104">
        <v>0</v>
      </c>
      <c r="AG67" s="100">
        <v>0</v>
      </c>
      <c r="AH67" s="100">
        <v>0</v>
      </c>
      <c r="AI67" s="100">
        <v>0</v>
      </c>
      <c r="AJ67" s="104">
        <v>0</v>
      </c>
      <c r="AK67" s="104">
        <v>0</v>
      </c>
      <c r="AL67" s="100">
        <v>0</v>
      </c>
      <c r="AM67" s="100">
        <v>0</v>
      </c>
      <c r="AN67" s="100">
        <v>0</v>
      </c>
      <c r="AO67" s="104">
        <v>0</v>
      </c>
      <c r="AP67" s="104">
        <v>0</v>
      </c>
      <c r="AQ67" s="100">
        <v>99819000</v>
      </c>
      <c r="AR67" s="100">
        <v>0</v>
      </c>
      <c r="AS67" s="100">
        <v>33133000</v>
      </c>
      <c r="AT67" s="100">
        <v>0</v>
      </c>
      <c r="AU67" s="100">
        <v>0</v>
      </c>
      <c r="AV67" s="100">
        <v>0</v>
      </c>
      <c r="AW67" s="104">
        <v>132952000</v>
      </c>
      <c r="AX67" s="100">
        <v>3817000</v>
      </c>
      <c r="AY67" s="100">
        <v>0</v>
      </c>
      <c r="AZ67" s="100">
        <v>-2467000</v>
      </c>
      <c r="BA67" s="100">
        <v>0</v>
      </c>
      <c r="BB67" s="100">
        <v>0</v>
      </c>
      <c r="BC67" s="104">
        <v>1350000</v>
      </c>
      <c r="BD67" s="104">
        <v>134302000</v>
      </c>
      <c r="BE67" s="100">
        <v>57139000</v>
      </c>
      <c r="BF67" s="100">
        <v>0</v>
      </c>
      <c r="BG67" s="100">
        <v>851000</v>
      </c>
      <c r="BH67" s="100">
        <v>23000</v>
      </c>
      <c r="BI67" s="100">
        <v>0</v>
      </c>
      <c r="BJ67" s="100">
        <v>79447000</v>
      </c>
      <c r="BK67" s="100">
        <v>0</v>
      </c>
      <c r="BL67" s="104">
        <v>137460000</v>
      </c>
      <c r="BM67" s="104">
        <v>-3158000</v>
      </c>
      <c r="BN67" s="100">
        <v>124000</v>
      </c>
      <c r="BO67" s="100">
        <v>0</v>
      </c>
      <c r="BP67" s="100">
        <v>-3034000</v>
      </c>
      <c r="BQ67" s="100">
        <v>0</v>
      </c>
      <c r="BR67" s="100">
        <v>0</v>
      </c>
      <c r="BS67" s="104">
        <v>-3034000</v>
      </c>
      <c r="BT67" s="105">
        <v>-3.4000000000000002E-2</v>
      </c>
      <c r="BU67" s="105">
        <v>0.01</v>
      </c>
      <c r="BV67" s="105">
        <v>-2.4E-2</v>
      </c>
      <c r="BW67" s="106">
        <v>0</v>
      </c>
      <c r="BX67" s="107">
        <v>0</v>
      </c>
      <c r="BY67" s="107">
        <v>0</v>
      </c>
      <c r="BZ67" s="108">
        <v>-99.3</v>
      </c>
      <c r="CA67" s="109">
        <v>0</v>
      </c>
      <c r="CB67" s="109">
        <v>0</v>
      </c>
      <c r="CC67" s="110">
        <v>0</v>
      </c>
      <c r="CD67" s="111">
        <v>0</v>
      </c>
      <c r="CE67" s="109">
        <v>0</v>
      </c>
      <c r="CF67" s="104">
        <v>-6698754</v>
      </c>
      <c r="CG67" s="105">
        <v>-0.157</v>
      </c>
      <c r="CH67" s="105">
        <v>0</v>
      </c>
      <c r="CI67" s="105">
        <v>-0.157</v>
      </c>
    </row>
    <row r="68" spans="1:87" s="222" customFormat="1" ht="22.8" x14ac:dyDescent="0.3">
      <c r="A68" s="57">
        <v>8750</v>
      </c>
      <c r="B68" s="57" t="s">
        <v>161</v>
      </c>
      <c r="C68" s="57" t="s">
        <v>83</v>
      </c>
      <c r="D68" s="57">
        <v>6755</v>
      </c>
      <c r="E68" s="57">
        <v>2025</v>
      </c>
      <c r="F68" s="57" t="s">
        <v>275</v>
      </c>
      <c r="G68" s="57">
        <v>2</v>
      </c>
      <c r="H68" s="57">
        <v>6</v>
      </c>
      <c r="I68" s="57" t="s">
        <v>709</v>
      </c>
      <c r="J68" s="100">
        <v>0</v>
      </c>
      <c r="K68" s="100">
        <v>0</v>
      </c>
      <c r="L68" s="100">
        <v>0</v>
      </c>
      <c r="M68" s="100">
        <v>0</v>
      </c>
      <c r="N68" s="100">
        <v>0</v>
      </c>
      <c r="O68" s="100">
        <v>0</v>
      </c>
      <c r="P68" s="100">
        <v>0</v>
      </c>
      <c r="Q68" s="104">
        <v>0</v>
      </c>
      <c r="R68" s="100">
        <v>0</v>
      </c>
      <c r="S68" s="100">
        <v>0</v>
      </c>
      <c r="T68" s="100">
        <v>0</v>
      </c>
      <c r="U68" s="100">
        <v>0</v>
      </c>
      <c r="V68" s="100">
        <v>0</v>
      </c>
      <c r="W68" s="100">
        <v>0</v>
      </c>
      <c r="X68" s="104">
        <v>0</v>
      </c>
      <c r="Y68" s="100">
        <v>0</v>
      </c>
      <c r="Z68" s="104">
        <v>0</v>
      </c>
      <c r="AA68" s="104">
        <v>0</v>
      </c>
      <c r="AB68" s="100">
        <v>0</v>
      </c>
      <c r="AC68" s="100">
        <v>0</v>
      </c>
      <c r="AD68" s="100">
        <v>0</v>
      </c>
      <c r="AE68" s="100">
        <v>0</v>
      </c>
      <c r="AF68" s="104">
        <v>0</v>
      </c>
      <c r="AG68" s="100">
        <v>0</v>
      </c>
      <c r="AH68" s="100">
        <v>0</v>
      </c>
      <c r="AI68" s="100">
        <v>0</v>
      </c>
      <c r="AJ68" s="104">
        <v>0</v>
      </c>
      <c r="AK68" s="104">
        <v>0</v>
      </c>
      <c r="AL68" s="100">
        <v>0</v>
      </c>
      <c r="AM68" s="100">
        <v>0</v>
      </c>
      <c r="AN68" s="100">
        <v>0</v>
      </c>
      <c r="AO68" s="104">
        <v>0</v>
      </c>
      <c r="AP68" s="104">
        <v>0</v>
      </c>
      <c r="AQ68" s="100">
        <v>51937000</v>
      </c>
      <c r="AR68" s="100">
        <v>0</v>
      </c>
      <c r="AS68" s="100">
        <v>8567000</v>
      </c>
      <c r="AT68" s="100">
        <v>0</v>
      </c>
      <c r="AU68" s="100">
        <v>0</v>
      </c>
      <c r="AV68" s="100">
        <v>0</v>
      </c>
      <c r="AW68" s="104">
        <v>60504000</v>
      </c>
      <c r="AX68" s="100">
        <v>0</v>
      </c>
      <c r="AY68" s="100">
        <v>0</v>
      </c>
      <c r="AZ68" s="100"/>
      <c r="BA68" s="100">
        <v>-4000</v>
      </c>
      <c r="BB68" s="100">
        <v>0</v>
      </c>
      <c r="BC68" s="104">
        <v>-4000</v>
      </c>
      <c r="BD68" s="104">
        <v>60500000</v>
      </c>
      <c r="BE68" s="100">
        <v>46173000</v>
      </c>
      <c r="BF68" s="100">
        <v>0</v>
      </c>
      <c r="BG68" s="100">
        <v>485000</v>
      </c>
      <c r="BH68" s="100">
        <v>271000</v>
      </c>
      <c r="BI68" s="100">
        <v>0</v>
      </c>
      <c r="BJ68" s="100">
        <v>17658000</v>
      </c>
      <c r="BK68" s="100">
        <v>0</v>
      </c>
      <c r="BL68" s="104">
        <v>64587000</v>
      </c>
      <c r="BM68" s="104">
        <v>-4087000</v>
      </c>
      <c r="BN68" s="100">
        <v>0</v>
      </c>
      <c r="BO68" s="100">
        <v>0</v>
      </c>
      <c r="BP68" s="100">
        <v>-4087000</v>
      </c>
      <c r="BQ68" s="100">
        <v>0</v>
      </c>
      <c r="BR68" s="100">
        <v>0</v>
      </c>
      <c r="BS68" s="104">
        <v>-4087000</v>
      </c>
      <c r="BT68" s="109">
        <v>-6.7000000000000004E-2</v>
      </c>
      <c r="BU68" s="109">
        <v>0</v>
      </c>
      <c r="BV68" s="109">
        <v>-6.8000000000000005E-2</v>
      </c>
      <c r="BW68" s="106">
        <v>0</v>
      </c>
      <c r="BX68" s="107">
        <v>0</v>
      </c>
      <c r="BY68" s="107">
        <v>0</v>
      </c>
      <c r="BZ68" s="108">
        <v>0</v>
      </c>
      <c r="CA68" s="109">
        <v>0</v>
      </c>
      <c r="CB68" s="109">
        <v>0</v>
      </c>
      <c r="CC68" s="110">
        <v>0</v>
      </c>
      <c r="CD68" s="110"/>
      <c r="CE68" s="110"/>
      <c r="CF68" s="104">
        <v>-51914000</v>
      </c>
      <c r="CG68" s="105">
        <v>-0.217</v>
      </c>
      <c r="CH68" s="105">
        <v>0</v>
      </c>
      <c r="CI68" s="105">
        <v>-0.217</v>
      </c>
    </row>
    <row r="69" spans="1:87" s="222" customFormat="1" ht="22.8" x14ac:dyDescent="0.3">
      <c r="A69" s="14">
        <v>9323</v>
      </c>
      <c r="B69" s="14" t="s">
        <v>152</v>
      </c>
      <c r="C69" s="14" t="s">
        <v>83</v>
      </c>
      <c r="D69" s="14">
        <v>3791</v>
      </c>
      <c r="E69" s="14">
        <v>2025</v>
      </c>
      <c r="F69" s="14" t="s">
        <v>275</v>
      </c>
      <c r="G69" s="14">
        <v>2</v>
      </c>
      <c r="H69" s="14">
        <v>6</v>
      </c>
      <c r="I69" s="14" t="s">
        <v>709</v>
      </c>
      <c r="J69" s="96">
        <v>0</v>
      </c>
      <c r="K69" s="96">
        <v>0</v>
      </c>
      <c r="L69" s="96">
        <v>0</v>
      </c>
      <c r="M69" s="96">
        <v>0</v>
      </c>
      <c r="N69" s="96">
        <v>0</v>
      </c>
      <c r="O69" s="96">
        <v>0</v>
      </c>
      <c r="P69" s="96">
        <v>0</v>
      </c>
      <c r="Q69" s="104">
        <v>0</v>
      </c>
      <c r="R69" s="96">
        <v>0</v>
      </c>
      <c r="S69" s="96">
        <v>0</v>
      </c>
      <c r="T69" s="96">
        <v>0</v>
      </c>
      <c r="U69" s="96">
        <v>0</v>
      </c>
      <c r="V69" s="96">
        <v>0</v>
      </c>
      <c r="W69" s="96">
        <v>0</v>
      </c>
      <c r="X69" s="104">
        <v>0</v>
      </c>
      <c r="Y69" s="96">
        <v>0</v>
      </c>
      <c r="Z69" s="104">
        <v>0</v>
      </c>
      <c r="AA69" s="104">
        <v>0</v>
      </c>
      <c r="AB69" s="96">
        <v>0</v>
      </c>
      <c r="AC69" s="96">
        <v>0</v>
      </c>
      <c r="AD69" s="96">
        <v>0</v>
      </c>
      <c r="AE69" s="96">
        <v>0</v>
      </c>
      <c r="AF69" s="104">
        <v>0</v>
      </c>
      <c r="AG69" s="96">
        <v>0</v>
      </c>
      <c r="AH69" s="96">
        <v>0</v>
      </c>
      <c r="AI69" s="96">
        <v>0</v>
      </c>
      <c r="AJ69" s="104">
        <v>0</v>
      </c>
      <c r="AK69" s="104">
        <v>0</v>
      </c>
      <c r="AL69" s="96">
        <v>0</v>
      </c>
      <c r="AM69" s="96">
        <v>0</v>
      </c>
      <c r="AN69" s="96">
        <v>0</v>
      </c>
      <c r="AO69" s="104">
        <v>0</v>
      </c>
      <c r="AP69" s="104">
        <v>0</v>
      </c>
      <c r="AQ69" s="96">
        <v>33366000</v>
      </c>
      <c r="AR69" s="96">
        <v>0</v>
      </c>
      <c r="AS69" s="96">
        <v>9190000</v>
      </c>
      <c r="AT69" s="96">
        <v>0</v>
      </c>
      <c r="AU69" s="96">
        <v>0</v>
      </c>
      <c r="AV69" s="96">
        <v>0</v>
      </c>
      <c r="AW69" s="104">
        <v>42556000</v>
      </c>
      <c r="AX69" s="96">
        <v>0</v>
      </c>
      <c r="AY69" s="96">
        <v>0</v>
      </c>
      <c r="AZ69" s="96">
        <v>0</v>
      </c>
      <c r="BA69" s="96">
        <v>0</v>
      </c>
      <c r="BB69" s="96">
        <v>0</v>
      </c>
      <c r="BC69" s="104">
        <v>0</v>
      </c>
      <c r="BD69" s="104">
        <v>42556000</v>
      </c>
      <c r="BE69" s="96">
        <v>40232000</v>
      </c>
      <c r="BF69" s="96">
        <v>0</v>
      </c>
      <c r="BG69" s="96">
        <v>49000</v>
      </c>
      <c r="BH69" s="96">
        <v>0</v>
      </c>
      <c r="BI69" s="96">
        <v>0</v>
      </c>
      <c r="BJ69" s="96">
        <v>13565000</v>
      </c>
      <c r="BK69" s="96">
        <v>0</v>
      </c>
      <c r="BL69" s="104">
        <v>53846000</v>
      </c>
      <c r="BM69" s="104">
        <v>-11290000</v>
      </c>
      <c r="BN69" s="96">
        <v>-11459000</v>
      </c>
      <c r="BO69" s="96">
        <v>0</v>
      </c>
      <c r="BP69" s="96">
        <v>-22749000</v>
      </c>
      <c r="BQ69" s="96">
        <v>0</v>
      </c>
      <c r="BR69" s="96">
        <v>0</v>
      </c>
      <c r="BS69" s="104">
        <v>-22749000</v>
      </c>
      <c r="BT69" s="105">
        <v>-0.26500000000000001</v>
      </c>
      <c r="BU69" s="105">
        <v>0</v>
      </c>
      <c r="BV69" s="105">
        <v>-0.26500000000000001</v>
      </c>
      <c r="BW69" s="106">
        <v>0</v>
      </c>
      <c r="BX69" s="107">
        <v>0</v>
      </c>
      <c r="BY69" s="107">
        <v>0</v>
      </c>
      <c r="BZ69" s="108">
        <v>0</v>
      </c>
      <c r="CA69" s="109">
        <v>0</v>
      </c>
      <c r="CB69" s="109">
        <v>0</v>
      </c>
      <c r="CC69" s="110">
        <v>0</v>
      </c>
      <c r="CD69" s="111">
        <v>0</v>
      </c>
      <c r="CE69" s="109">
        <v>0</v>
      </c>
      <c r="CF69" s="104">
        <v>-38224501.509999998</v>
      </c>
      <c r="CG69" s="105">
        <v>-0.22900000000000001</v>
      </c>
      <c r="CH69" s="105">
        <v>0</v>
      </c>
      <c r="CI69" s="105">
        <v>-0.22900000000000001</v>
      </c>
    </row>
    <row r="70" spans="1:87" s="222" customFormat="1" ht="22.8" x14ac:dyDescent="0.3">
      <c r="A70" s="57">
        <v>9784</v>
      </c>
      <c r="B70" s="57" t="s">
        <v>202</v>
      </c>
      <c r="C70" s="57" t="s">
        <v>83</v>
      </c>
      <c r="D70" s="57">
        <v>6755</v>
      </c>
      <c r="E70" s="57">
        <v>2025</v>
      </c>
      <c r="F70" s="57" t="s">
        <v>275</v>
      </c>
      <c r="G70" s="57">
        <v>2</v>
      </c>
      <c r="H70" s="57">
        <v>6</v>
      </c>
      <c r="I70" s="57" t="s">
        <v>709</v>
      </c>
      <c r="J70" s="100">
        <v>0</v>
      </c>
      <c r="K70" s="100">
        <v>0</v>
      </c>
      <c r="L70" s="100">
        <v>0</v>
      </c>
      <c r="M70" s="100">
        <v>0</v>
      </c>
      <c r="N70" s="100">
        <v>0</v>
      </c>
      <c r="O70" s="100">
        <v>0</v>
      </c>
      <c r="P70" s="100">
        <v>0</v>
      </c>
      <c r="Q70" s="104">
        <v>0</v>
      </c>
      <c r="R70" s="100">
        <v>0</v>
      </c>
      <c r="S70" s="100">
        <v>0</v>
      </c>
      <c r="T70" s="100">
        <v>0</v>
      </c>
      <c r="U70" s="100">
        <v>0</v>
      </c>
      <c r="V70" s="100">
        <v>0</v>
      </c>
      <c r="W70" s="100">
        <v>0</v>
      </c>
      <c r="X70" s="104">
        <v>0</v>
      </c>
      <c r="Y70" s="100">
        <v>0</v>
      </c>
      <c r="Z70" s="104">
        <v>0</v>
      </c>
      <c r="AA70" s="104">
        <v>0</v>
      </c>
      <c r="AB70" s="100">
        <v>0</v>
      </c>
      <c r="AC70" s="100">
        <v>0</v>
      </c>
      <c r="AD70" s="100">
        <v>0</v>
      </c>
      <c r="AE70" s="100">
        <v>0</v>
      </c>
      <c r="AF70" s="104">
        <v>0</v>
      </c>
      <c r="AG70" s="100">
        <v>0</v>
      </c>
      <c r="AH70" s="100">
        <v>0</v>
      </c>
      <c r="AI70" s="100">
        <v>0</v>
      </c>
      <c r="AJ70" s="104">
        <v>0</v>
      </c>
      <c r="AK70" s="104">
        <v>0</v>
      </c>
      <c r="AL70" s="100">
        <v>0</v>
      </c>
      <c r="AM70" s="100">
        <v>0</v>
      </c>
      <c r="AN70" s="100">
        <v>0</v>
      </c>
      <c r="AO70" s="104">
        <v>0</v>
      </c>
      <c r="AP70" s="104">
        <v>0</v>
      </c>
      <c r="AQ70" s="100">
        <v>295237000</v>
      </c>
      <c r="AR70" s="100">
        <v>0</v>
      </c>
      <c r="AS70" s="100">
        <v>134256000</v>
      </c>
      <c r="AT70" s="100">
        <v>0</v>
      </c>
      <c r="AU70" s="100">
        <v>0</v>
      </c>
      <c r="AV70" s="100">
        <v>647000</v>
      </c>
      <c r="AW70" s="104">
        <v>430140000</v>
      </c>
      <c r="AX70" s="100">
        <v>167000</v>
      </c>
      <c r="AY70" s="100">
        <v>367000</v>
      </c>
      <c r="AZ70" s="100"/>
      <c r="BA70" s="100">
        <v>-202000</v>
      </c>
      <c r="BB70" s="100">
        <v>0</v>
      </c>
      <c r="BC70" s="104">
        <v>332000</v>
      </c>
      <c r="BD70" s="104">
        <v>430472000</v>
      </c>
      <c r="BE70" s="100">
        <v>343848000</v>
      </c>
      <c r="BF70" s="100">
        <v>0</v>
      </c>
      <c r="BG70" s="100">
        <v>1609000</v>
      </c>
      <c r="BH70" s="100">
        <v>0</v>
      </c>
      <c r="BI70" s="100">
        <v>0</v>
      </c>
      <c r="BJ70" s="100">
        <v>105690000</v>
      </c>
      <c r="BK70" s="100">
        <v>0</v>
      </c>
      <c r="BL70" s="104">
        <v>451147000</v>
      </c>
      <c r="BM70" s="104">
        <v>-20675000</v>
      </c>
      <c r="BN70" s="100">
        <v>16430000</v>
      </c>
      <c r="BO70" s="100">
        <v>0</v>
      </c>
      <c r="BP70" s="100">
        <v>-4245000</v>
      </c>
      <c r="BQ70" s="100">
        <v>0</v>
      </c>
      <c r="BR70" s="100">
        <v>0</v>
      </c>
      <c r="BS70" s="104">
        <v>-4245000</v>
      </c>
      <c r="BT70" s="109">
        <v>-4.9000000000000002E-2</v>
      </c>
      <c r="BU70" s="109">
        <v>1E-3</v>
      </c>
      <c r="BV70" s="109">
        <v>-4.8000000000000001E-2</v>
      </c>
      <c r="BW70" s="106">
        <v>0</v>
      </c>
      <c r="BX70" s="107">
        <v>0</v>
      </c>
      <c r="BY70" s="107">
        <v>0</v>
      </c>
      <c r="BZ70" s="108">
        <v>0</v>
      </c>
      <c r="CA70" s="109">
        <v>0</v>
      </c>
      <c r="CB70" s="109">
        <v>0</v>
      </c>
      <c r="CC70" s="110">
        <v>0</v>
      </c>
      <c r="CD70" s="110"/>
      <c r="CE70" s="110"/>
      <c r="CF70" s="104">
        <v>-7593401</v>
      </c>
      <c r="CG70" s="105">
        <v>-0.13800000000000001</v>
      </c>
      <c r="CH70" s="105">
        <v>0</v>
      </c>
      <c r="CI70" s="105">
        <v>-0.13800000000000001</v>
      </c>
    </row>
    <row r="71" spans="1:87" s="222" customFormat="1" ht="22.8" x14ac:dyDescent="0.3">
      <c r="A71" s="57">
        <v>9914</v>
      </c>
      <c r="B71" s="57" t="s">
        <v>104</v>
      </c>
      <c r="C71" s="57" t="s">
        <v>83</v>
      </c>
      <c r="D71" s="57">
        <v>16665</v>
      </c>
      <c r="E71" s="57">
        <v>2025</v>
      </c>
      <c r="F71" s="57" t="s">
        <v>275</v>
      </c>
      <c r="G71" s="57">
        <v>2</v>
      </c>
      <c r="H71" s="57">
        <v>6</v>
      </c>
      <c r="I71" s="57" t="s">
        <v>709</v>
      </c>
      <c r="J71" s="100">
        <v>0</v>
      </c>
      <c r="K71" s="100">
        <v>0</v>
      </c>
      <c r="L71" s="100">
        <v>0</v>
      </c>
      <c r="M71" s="100">
        <v>0</v>
      </c>
      <c r="N71" s="100">
        <v>0</v>
      </c>
      <c r="O71" s="100">
        <v>0</v>
      </c>
      <c r="P71" s="100">
        <v>0</v>
      </c>
      <c r="Q71" s="104">
        <v>0</v>
      </c>
      <c r="R71" s="100">
        <v>0</v>
      </c>
      <c r="S71" s="100">
        <v>0</v>
      </c>
      <c r="T71" s="100">
        <v>0</v>
      </c>
      <c r="U71" s="100">
        <v>0</v>
      </c>
      <c r="V71" s="100">
        <v>0</v>
      </c>
      <c r="W71" s="100">
        <v>0</v>
      </c>
      <c r="X71" s="104">
        <v>0</v>
      </c>
      <c r="Y71" s="100">
        <v>0</v>
      </c>
      <c r="Z71" s="104">
        <v>0</v>
      </c>
      <c r="AA71" s="104">
        <v>0</v>
      </c>
      <c r="AB71" s="100">
        <v>0</v>
      </c>
      <c r="AC71" s="100">
        <v>0</v>
      </c>
      <c r="AD71" s="100">
        <v>0</v>
      </c>
      <c r="AE71" s="100">
        <v>0</v>
      </c>
      <c r="AF71" s="104">
        <v>0</v>
      </c>
      <c r="AG71" s="100">
        <v>0</v>
      </c>
      <c r="AH71" s="100">
        <v>0</v>
      </c>
      <c r="AI71" s="100">
        <v>0</v>
      </c>
      <c r="AJ71" s="104">
        <v>0</v>
      </c>
      <c r="AK71" s="104">
        <v>0</v>
      </c>
      <c r="AL71" s="100">
        <v>0</v>
      </c>
      <c r="AM71" s="100">
        <v>0</v>
      </c>
      <c r="AN71" s="100">
        <v>0</v>
      </c>
      <c r="AO71" s="104">
        <v>0</v>
      </c>
      <c r="AP71" s="104">
        <v>0</v>
      </c>
      <c r="AQ71" s="100">
        <v>242128000</v>
      </c>
      <c r="AR71" s="100">
        <v>0</v>
      </c>
      <c r="AS71" s="100">
        <v>266240000</v>
      </c>
      <c r="AT71" s="100">
        <v>0</v>
      </c>
      <c r="AU71" s="100">
        <v>0</v>
      </c>
      <c r="AV71" s="100">
        <v>0</v>
      </c>
      <c r="AW71" s="104">
        <v>508368000</v>
      </c>
      <c r="AX71" s="100">
        <v>8523000</v>
      </c>
      <c r="AY71" s="100">
        <v>0</v>
      </c>
      <c r="AZ71" s="100">
        <v>1535000</v>
      </c>
      <c r="BA71" s="100">
        <v>0</v>
      </c>
      <c r="BB71" s="100">
        <v>0</v>
      </c>
      <c r="BC71" s="104">
        <v>10058000</v>
      </c>
      <c r="BD71" s="104">
        <v>518426000</v>
      </c>
      <c r="BE71" s="100">
        <v>459454000</v>
      </c>
      <c r="BF71" s="100">
        <v>0</v>
      </c>
      <c r="BG71" s="100">
        <v>672000</v>
      </c>
      <c r="BH71" s="100">
        <v>0</v>
      </c>
      <c r="BI71" s="100">
        <v>0</v>
      </c>
      <c r="BJ71" s="100">
        <v>46387000</v>
      </c>
      <c r="BK71" s="100">
        <v>0</v>
      </c>
      <c r="BL71" s="104">
        <v>506513000</v>
      </c>
      <c r="BM71" s="104">
        <v>11913000</v>
      </c>
      <c r="BN71" s="100">
        <v>0</v>
      </c>
      <c r="BO71" s="100">
        <v>0</v>
      </c>
      <c r="BP71" s="100">
        <v>11913000</v>
      </c>
      <c r="BQ71" s="100">
        <v>0</v>
      </c>
      <c r="BR71" s="100">
        <v>0</v>
      </c>
      <c r="BS71" s="104">
        <v>11913000</v>
      </c>
      <c r="BT71" s="105">
        <v>4.0000000000000001E-3</v>
      </c>
      <c r="BU71" s="105">
        <v>1.9E-2</v>
      </c>
      <c r="BV71" s="105">
        <v>2.3E-2</v>
      </c>
      <c r="BW71" s="106">
        <v>0</v>
      </c>
      <c r="BX71" s="107">
        <v>0</v>
      </c>
      <c r="BY71" s="107">
        <v>0</v>
      </c>
      <c r="BZ71" s="108">
        <v>0</v>
      </c>
      <c r="CA71" s="109">
        <v>0</v>
      </c>
      <c r="CB71" s="109">
        <v>0</v>
      </c>
      <c r="CC71" s="110">
        <v>0</v>
      </c>
      <c r="CD71" s="111">
        <v>0</v>
      </c>
      <c r="CE71" s="109">
        <v>0</v>
      </c>
      <c r="CF71" s="104">
        <v>-18962229</v>
      </c>
      <c r="CG71" s="105">
        <v>-0.64300000000000002</v>
      </c>
      <c r="CH71" s="105">
        <v>0</v>
      </c>
      <c r="CI71" s="105">
        <v>-0.64300000000000002</v>
      </c>
    </row>
    <row r="72" spans="1:87" s="222" customFormat="1" ht="22.8" x14ac:dyDescent="0.3">
      <c r="A72" s="57">
        <v>9991</v>
      </c>
      <c r="B72" s="57" t="s">
        <v>162</v>
      </c>
      <c r="C72" s="57" t="s">
        <v>75</v>
      </c>
      <c r="D72" s="57">
        <v>9991</v>
      </c>
      <c r="E72" s="57">
        <v>2025</v>
      </c>
      <c r="F72" s="57" t="s">
        <v>275</v>
      </c>
      <c r="G72" s="57">
        <v>2</v>
      </c>
      <c r="H72" s="57">
        <v>6</v>
      </c>
      <c r="I72" s="57" t="s">
        <v>709</v>
      </c>
      <c r="J72" s="100">
        <v>31967673</v>
      </c>
      <c r="K72" s="100">
        <v>0</v>
      </c>
      <c r="L72" s="100">
        <v>0</v>
      </c>
      <c r="M72" s="100">
        <v>33972829</v>
      </c>
      <c r="N72" s="100">
        <v>0</v>
      </c>
      <c r="O72" s="100">
        <v>11562765</v>
      </c>
      <c r="P72" s="100">
        <v>61353845</v>
      </c>
      <c r="Q72" s="104">
        <v>138857112</v>
      </c>
      <c r="R72" s="100">
        <v>109743107</v>
      </c>
      <c r="S72" s="100">
        <v>0</v>
      </c>
      <c r="T72" s="100">
        <v>0</v>
      </c>
      <c r="U72" s="100">
        <v>0</v>
      </c>
      <c r="V72" s="100">
        <v>406083929</v>
      </c>
      <c r="W72" s="100">
        <v>198520405</v>
      </c>
      <c r="X72" s="104">
        <v>207563524</v>
      </c>
      <c r="Y72" s="100">
        <v>50602139</v>
      </c>
      <c r="Z72" s="104">
        <v>367908770</v>
      </c>
      <c r="AA72" s="104">
        <v>506765882</v>
      </c>
      <c r="AB72" s="100">
        <v>8957123</v>
      </c>
      <c r="AC72" s="100">
        <v>28148301</v>
      </c>
      <c r="AD72" s="100">
        <v>0</v>
      </c>
      <c r="AE72" s="100">
        <v>98530928</v>
      </c>
      <c r="AF72" s="104">
        <v>135636352</v>
      </c>
      <c r="AG72" s="100">
        <v>95819565</v>
      </c>
      <c r="AH72" s="100">
        <v>0</v>
      </c>
      <c r="AI72" s="100">
        <v>23512182</v>
      </c>
      <c r="AJ72" s="104">
        <v>119331747</v>
      </c>
      <c r="AK72" s="104">
        <v>254968099</v>
      </c>
      <c r="AL72" s="100">
        <v>236248636</v>
      </c>
      <c r="AM72" s="100">
        <v>0</v>
      </c>
      <c r="AN72" s="100">
        <v>15549147</v>
      </c>
      <c r="AO72" s="104">
        <v>251797783</v>
      </c>
      <c r="AP72" s="104">
        <v>506765882</v>
      </c>
      <c r="AQ72" s="100">
        <v>182388993</v>
      </c>
      <c r="AR72" s="100">
        <v>18499027</v>
      </c>
      <c r="AS72" s="100">
        <v>43822992</v>
      </c>
      <c r="AT72" s="100">
        <v>0</v>
      </c>
      <c r="AU72" s="100">
        <v>0</v>
      </c>
      <c r="AV72" s="100">
        <v>585385</v>
      </c>
      <c r="AW72" s="104">
        <v>245296397</v>
      </c>
      <c r="AX72" s="100">
        <v>2111815</v>
      </c>
      <c r="AY72" s="100">
        <v>-433084</v>
      </c>
      <c r="AZ72" s="100">
        <v>0</v>
      </c>
      <c r="BA72" s="100">
        <v>6941066</v>
      </c>
      <c r="BB72" s="100">
        <v>46209574</v>
      </c>
      <c r="BC72" s="104">
        <v>54829371</v>
      </c>
      <c r="BD72" s="104">
        <v>300125768</v>
      </c>
      <c r="BE72" s="100">
        <v>164218610</v>
      </c>
      <c r="BF72" s="100">
        <v>0</v>
      </c>
      <c r="BG72" s="100">
        <v>9040025</v>
      </c>
      <c r="BH72" s="100">
        <v>1761589</v>
      </c>
      <c r="BI72" s="100">
        <v>9016146</v>
      </c>
      <c r="BJ72" s="100">
        <v>103293283</v>
      </c>
      <c r="BK72" s="100">
        <v>0</v>
      </c>
      <c r="BL72" s="104">
        <v>287329653</v>
      </c>
      <c r="BM72" s="104">
        <v>12796115</v>
      </c>
      <c r="BN72" s="100">
        <v>0</v>
      </c>
      <c r="BO72" s="100">
        <v>-2018740</v>
      </c>
      <c r="BP72" s="100">
        <v>10777375</v>
      </c>
      <c r="BQ72" s="100">
        <v>265588</v>
      </c>
      <c r="BR72" s="100">
        <v>0</v>
      </c>
      <c r="BS72" s="104">
        <v>11042963</v>
      </c>
      <c r="BT72" s="105">
        <v>-0.14000000000000001</v>
      </c>
      <c r="BU72" s="105">
        <v>0.183</v>
      </c>
      <c r="BV72" s="105">
        <v>4.2999999999999997E-2</v>
      </c>
      <c r="BW72" s="106">
        <v>1</v>
      </c>
      <c r="BX72" s="107">
        <v>34</v>
      </c>
      <c r="BY72" s="107">
        <v>70</v>
      </c>
      <c r="BZ72" s="108">
        <v>2.2000000000000002</v>
      </c>
      <c r="CA72" s="109">
        <v>9.4E-2</v>
      </c>
      <c r="CB72" s="109">
        <v>0.497</v>
      </c>
      <c r="CC72" s="110">
        <v>22</v>
      </c>
      <c r="CD72" s="111">
        <v>21</v>
      </c>
      <c r="CE72" s="109">
        <v>0.28899999999999998</v>
      </c>
      <c r="CF72" s="104">
        <v>-14958842</v>
      </c>
      <c r="CG72" s="105">
        <v>5.0000000000000001E-3</v>
      </c>
      <c r="CH72" s="105">
        <v>-3.2000000000000001E-2</v>
      </c>
      <c r="CI72" s="105">
        <v>-2.8000000000000001E-2</v>
      </c>
    </row>
    <row r="73" spans="1:87" s="222" customFormat="1" ht="22.8" x14ac:dyDescent="0.3">
      <c r="A73" s="14">
        <v>10327</v>
      </c>
      <c r="B73" s="14" t="s">
        <v>165</v>
      </c>
      <c r="C73" s="14" t="s">
        <v>83</v>
      </c>
      <c r="D73" s="14">
        <v>9991</v>
      </c>
      <c r="E73" s="14">
        <v>2025</v>
      </c>
      <c r="F73" s="14" t="s">
        <v>275</v>
      </c>
      <c r="G73" s="14">
        <v>2</v>
      </c>
      <c r="H73" s="14">
        <v>6</v>
      </c>
      <c r="I73" s="14" t="s">
        <v>709</v>
      </c>
      <c r="J73" s="96">
        <v>0</v>
      </c>
      <c r="K73" s="96">
        <v>0</v>
      </c>
      <c r="L73" s="96">
        <v>0</v>
      </c>
      <c r="M73" s="96">
        <v>0</v>
      </c>
      <c r="N73" s="96">
        <v>0</v>
      </c>
      <c r="O73" s="96">
        <v>0</v>
      </c>
      <c r="P73" s="96">
        <v>0</v>
      </c>
      <c r="Q73" s="104">
        <v>0</v>
      </c>
      <c r="R73" s="96">
        <v>0</v>
      </c>
      <c r="S73" s="96">
        <v>0</v>
      </c>
      <c r="T73" s="96">
        <v>0</v>
      </c>
      <c r="U73" s="96">
        <v>0</v>
      </c>
      <c r="V73" s="96">
        <v>0</v>
      </c>
      <c r="W73" s="96">
        <v>0</v>
      </c>
      <c r="X73" s="104">
        <v>0</v>
      </c>
      <c r="Y73" s="96">
        <v>0</v>
      </c>
      <c r="Z73" s="104">
        <v>0</v>
      </c>
      <c r="AA73" s="104">
        <v>0</v>
      </c>
      <c r="AB73" s="96">
        <v>0</v>
      </c>
      <c r="AC73" s="96">
        <v>0</v>
      </c>
      <c r="AD73" s="96">
        <v>0</v>
      </c>
      <c r="AE73" s="96">
        <v>0</v>
      </c>
      <c r="AF73" s="104">
        <v>0</v>
      </c>
      <c r="AG73" s="96">
        <v>0</v>
      </c>
      <c r="AH73" s="96">
        <v>0</v>
      </c>
      <c r="AI73" s="96">
        <v>0</v>
      </c>
      <c r="AJ73" s="104">
        <v>0</v>
      </c>
      <c r="AK73" s="104">
        <v>0</v>
      </c>
      <c r="AL73" s="96">
        <v>0</v>
      </c>
      <c r="AM73" s="96">
        <v>0</v>
      </c>
      <c r="AN73" s="96">
        <v>0</v>
      </c>
      <c r="AO73" s="104">
        <v>0</v>
      </c>
      <c r="AP73" s="104">
        <v>0</v>
      </c>
      <c r="AQ73" s="96">
        <v>31362518</v>
      </c>
      <c r="AR73" s="96">
        <v>9139581</v>
      </c>
      <c r="AS73" s="96">
        <v>2177420</v>
      </c>
      <c r="AT73" s="96">
        <v>0</v>
      </c>
      <c r="AU73" s="96">
        <v>0</v>
      </c>
      <c r="AV73" s="96">
        <v>0</v>
      </c>
      <c r="AW73" s="104">
        <v>42679519</v>
      </c>
      <c r="AX73" s="96">
        <v>0</v>
      </c>
      <c r="AY73" s="96">
        <v>0</v>
      </c>
      <c r="AZ73" s="96">
        <v>0</v>
      </c>
      <c r="BA73" s="96">
        <v>0</v>
      </c>
      <c r="BB73" s="96">
        <v>0</v>
      </c>
      <c r="BC73" s="104">
        <v>0</v>
      </c>
      <c r="BD73" s="104">
        <v>42679519</v>
      </c>
      <c r="BE73" s="96">
        <v>40457553</v>
      </c>
      <c r="BF73" s="96">
        <v>0</v>
      </c>
      <c r="BG73" s="96">
        <v>315169</v>
      </c>
      <c r="BH73" s="96">
        <v>0</v>
      </c>
      <c r="BI73" s="96">
        <v>0</v>
      </c>
      <c r="BJ73" s="96">
        <v>8605551</v>
      </c>
      <c r="BK73" s="96">
        <v>0</v>
      </c>
      <c r="BL73" s="104">
        <v>49378273</v>
      </c>
      <c r="BM73" s="104">
        <v>-6698754</v>
      </c>
      <c r="BN73" s="96">
        <v>-15150979</v>
      </c>
      <c r="BO73" s="96">
        <v>15150979</v>
      </c>
      <c r="BP73" s="96">
        <v>-6698754</v>
      </c>
      <c r="BQ73" s="96">
        <v>0</v>
      </c>
      <c r="BR73" s="96">
        <v>0</v>
      </c>
      <c r="BS73" s="104">
        <v>-6698754</v>
      </c>
      <c r="BT73" s="105">
        <v>-0.157</v>
      </c>
      <c r="BU73" s="105">
        <v>0</v>
      </c>
      <c r="BV73" s="105">
        <v>-0.157</v>
      </c>
      <c r="BW73" s="106">
        <v>0</v>
      </c>
      <c r="BX73" s="107">
        <v>0</v>
      </c>
      <c r="BY73" s="107">
        <v>0</v>
      </c>
      <c r="BZ73" s="108">
        <v>0</v>
      </c>
      <c r="CA73" s="109">
        <v>0</v>
      </c>
      <c r="CB73" s="109">
        <v>0</v>
      </c>
      <c r="CC73" s="110">
        <v>0</v>
      </c>
      <c r="CD73" s="111">
        <v>0</v>
      </c>
      <c r="CE73" s="109">
        <v>0</v>
      </c>
      <c r="CF73" s="104">
        <v>-7780619</v>
      </c>
      <c r="CG73" s="105">
        <v>-2.7E-2</v>
      </c>
      <c r="CH73" s="105">
        <v>-1E-3</v>
      </c>
      <c r="CI73" s="105">
        <v>-2.8000000000000001E-2</v>
      </c>
    </row>
    <row r="74" spans="1:87" s="222" customFormat="1" ht="22.8" x14ac:dyDescent="0.3">
      <c r="A74" s="57">
        <v>10976</v>
      </c>
      <c r="B74" s="57" t="s">
        <v>137</v>
      </c>
      <c r="C74" s="57" t="s">
        <v>83</v>
      </c>
      <c r="D74" s="57">
        <v>12807</v>
      </c>
      <c r="E74" s="57">
        <v>2025</v>
      </c>
      <c r="F74" s="57" t="s">
        <v>275</v>
      </c>
      <c r="G74" s="57">
        <v>2</v>
      </c>
      <c r="H74" s="57">
        <v>6</v>
      </c>
      <c r="I74" s="57" t="s">
        <v>709</v>
      </c>
      <c r="J74" s="100">
        <v>0</v>
      </c>
      <c r="K74" s="100">
        <v>0</v>
      </c>
      <c r="L74" s="100">
        <v>0</v>
      </c>
      <c r="M74" s="100">
        <v>0</v>
      </c>
      <c r="N74" s="100">
        <v>0</v>
      </c>
      <c r="O74" s="100">
        <v>0</v>
      </c>
      <c r="P74" s="100">
        <v>0</v>
      </c>
      <c r="Q74" s="104">
        <v>0</v>
      </c>
      <c r="R74" s="100">
        <v>0</v>
      </c>
      <c r="S74" s="100">
        <v>0</v>
      </c>
      <c r="T74" s="100">
        <v>0</v>
      </c>
      <c r="U74" s="100">
        <v>0</v>
      </c>
      <c r="V74" s="100">
        <v>0</v>
      </c>
      <c r="W74" s="100">
        <v>0</v>
      </c>
      <c r="X74" s="104">
        <v>0</v>
      </c>
      <c r="Y74" s="100">
        <v>0</v>
      </c>
      <c r="Z74" s="104">
        <v>0</v>
      </c>
      <c r="AA74" s="104">
        <v>0</v>
      </c>
      <c r="AB74" s="100">
        <v>0</v>
      </c>
      <c r="AC74" s="100">
        <v>0</v>
      </c>
      <c r="AD74" s="100">
        <v>0</v>
      </c>
      <c r="AE74" s="100">
        <v>0</v>
      </c>
      <c r="AF74" s="104">
        <v>0</v>
      </c>
      <c r="AG74" s="100">
        <v>0</v>
      </c>
      <c r="AH74" s="100">
        <v>0</v>
      </c>
      <c r="AI74" s="100">
        <v>0</v>
      </c>
      <c r="AJ74" s="104">
        <v>0</v>
      </c>
      <c r="AK74" s="104">
        <v>0</v>
      </c>
      <c r="AL74" s="100">
        <v>0</v>
      </c>
      <c r="AM74" s="100">
        <v>0</v>
      </c>
      <c r="AN74" s="100">
        <v>0</v>
      </c>
      <c r="AO74" s="104">
        <v>0</v>
      </c>
      <c r="AP74" s="104">
        <v>0</v>
      </c>
      <c r="AQ74" s="100">
        <v>2784473</v>
      </c>
      <c r="AR74" s="100">
        <v>0</v>
      </c>
      <c r="AS74" s="100">
        <v>1054566</v>
      </c>
      <c r="AT74" s="100">
        <v>0</v>
      </c>
      <c r="AU74" s="100">
        <v>0</v>
      </c>
      <c r="AV74" s="100">
        <v>0</v>
      </c>
      <c r="AW74" s="104">
        <v>3839039</v>
      </c>
      <c r="AX74" s="100">
        <v>0</v>
      </c>
      <c r="AY74" s="100">
        <v>0</v>
      </c>
      <c r="AZ74" s="100">
        <v>0</v>
      </c>
      <c r="BA74" s="100">
        <v>0</v>
      </c>
      <c r="BB74" s="100">
        <v>0</v>
      </c>
      <c r="BC74" s="104">
        <v>0</v>
      </c>
      <c r="BD74" s="104">
        <v>3839039</v>
      </c>
      <c r="BE74" s="100">
        <v>7009691</v>
      </c>
      <c r="BF74" s="100">
        <v>0</v>
      </c>
      <c r="BG74" s="100">
        <v>24627</v>
      </c>
      <c r="BH74" s="100">
        <v>0</v>
      </c>
      <c r="BI74" s="100">
        <v>0</v>
      </c>
      <c r="BJ74" s="100">
        <v>-984508</v>
      </c>
      <c r="BK74" s="100">
        <v>0</v>
      </c>
      <c r="BL74" s="104">
        <v>6049810</v>
      </c>
      <c r="BM74" s="104">
        <v>-2210771</v>
      </c>
      <c r="BN74" s="100">
        <v>9678789</v>
      </c>
      <c r="BO74" s="100">
        <v>0</v>
      </c>
      <c r="BP74" s="100">
        <v>7468018</v>
      </c>
      <c r="BQ74" s="100">
        <v>0</v>
      </c>
      <c r="BR74" s="100">
        <v>0</v>
      </c>
      <c r="BS74" s="104">
        <v>7468018</v>
      </c>
      <c r="BT74" s="105">
        <v>-0.57599999999999996</v>
      </c>
      <c r="BU74" s="105">
        <v>0</v>
      </c>
      <c r="BV74" s="105">
        <v>-0.57599999999999996</v>
      </c>
      <c r="BW74" s="106">
        <v>0</v>
      </c>
      <c r="BX74" s="107">
        <v>0</v>
      </c>
      <c r="BY74" s="107">
        <v>0</v>
      </c>
      <c r="BZ74" s="108">
        <v>0</v>
      </c>
      <c r="CA74" s="109">
        <v>0</v>
      </c>
      <c r="CB74" s="109">
        <v>0</v>
      </c>
      <c r="CC74" s="110">
        <v>0</v>
      </c>
      <c r="CD74" s="111">
        <v>0</v>
      </c>
      <c r="CE74" s="109">
        <v>0</v>
      </c>
      <c r="CF74" s="104">
        <v>-2210771</v>
      </c>
      <c r="CG74" s="105">
        <v>-0.57599999999999996</v>
      </c>
      <c r="CH74" s="105">
        <v>0</v>
      </c>
      <c r="CI74" s="105">
        <v>-0.57599999999999996</v>
      </c>
    </row>
    <row r="75" spans="1:87" s="222" customFormat="1" ht="22.8" x14ac:dyDescent="0.3">
      <c r="A75" s="14">
        <v>10991</v>
      </c>
      <c r="B75" s="14" t="s">
        <v>196</v>
      </c>
      <c r="C75" s="14" t="s">
        <v>83</v>
      </c>
      <c r="D75" s="14">
        <v>12775</v>
      </c>
      <c r="E75" s="14">
        <v>2025</v>
      </c>
      <c r="F75" s="14" t="s">
        <v>275</v>
      </c>
      <c r="G75" s="14">
        <v>2</v>
      </c>
      <c r="H75" s="14">
        <v>6</v>
      </c>
      <c r="I75" s="14" t="s">
        <v>709</v>
      </c>
      <c r="J75" s="96">
        <v>0</v>
      </c>
      <c r="K75" s="96">
        <v>0</v>
      </c>
      <c r="L75" s="96">
        <v>0</v>
      </c>
      <c r="M75" s="96">
        <v>0</v>
      </c>
      <c r="N75" s="96">
        <v>0</v>
      </c>
      <c r="O75" s="96">
        <v>0</v>
      </c>
      <c r="P75" s="96">
        <v>0</v>
      </c>
      <c r="Q75" s="104">
        <v>0</v>
      </c>
      <c r="R75" s="96">
        <v>0</v>
      </c>
      <c r="S75" s="96">
        <v>0</v>
      </c>
      <c r="T75" s="96">
        <v>0</v>
      </c>
      <c r="U75" s="96">
        <v>0</v>
      </c>
      <c r="V75" s="96">
        <v>0</v>
      </c>
      <c r="W75" s="96">
        <v>0</v>
      </c>
      <c r="X75" s="104">
        <v>0</v>
      </c>
      <c r="Y75" s="96">
        <v>0</v>
      </c>
      <c r="Z75" s="104">
        <v>0</v>
      </c>
      <c r="AA75" s="104">
        <v>0</v>
      </c>
      <c r="AB75" s="96">
        <v>0</v>
      </c>
      <c r="AC75" s="96">
        <v>0</v>
      </c>
      <c r="AD75" s="96">
        <v>0</v>
      </c>
      <c r="AE75" s="96">
        <v>0</v>
      </c>
      <c r="AF75" s="104">
        <v>0</v>
      </c>
      <c r="AG75" s="96">
        <v>0</v>
      </c>
      <c r="AH75" s="96">
        <v>0</v>
      </c>
      <c r="AI75" s="96">
        <v>0</v>
      </c>
      <c r="AJ75" s="104">
        <v>0</v>
      </c>
      <c r="AK75" s="104">
        <v>0</v>
      </c>
      <c r="AL75" s="96">
        <v>0</v>
      </c>
      <c r="AM75" s="96">
        <v>0</v>
      </c>
      <c r="AN75" s="96">
        <v>0</v>
      </c>
      <c r="AO75" s="104">
        <v>0</v>
      </c>
      <c r="AP75" s="104">
        <v>0</v>
      </c>
      <c r="AQ75" s="96">
        <v>113505000</v>
      </c>
      <c r="AR75" s="96">
        <v>0</v>
      </c>
      <c r="AS75" s="96">
        <v>72564000</v>
      </c>
      <c r="AT75" s="96">
        <v>0</v>
      </c>
      <c r="AU75" s="96">
        <v>0</v>
      </c>
      <c r="AV75" s="96">
        <v>0</v>
      </c>
      <c r="AW75" s="104">
        <v>186069000</v>
      </c>
      <c r="AX75" s="96">
        <v>0</v>
      </c>
      <c r="AY75" s="96">
        <v>0</v>
      </c>
      <c r="AZ75" s="96">
        <v>0</v>
      </c>
      <c r="BA75" s="96">
        <v>0</v>
      </c>
      <c r="BB75" s="96">
        <v>0</v>
      </c>
      <c r="BC75" s="104">
        <v>0</v>
      </c>
      <c r="BD75" s="104">
        <v>186069000</v>
      </c>
      <c r="BE75" s="96">
        <v>166904000</v>
      </c>
      <c r="BF75" s="96">
        <v>0</v>
      </c>
      <c r="BG75" s="96">
        <v>323000</v>
      </c>
      <c r="BH75" s="96">
        <v>0</v>
      </c>
      <c r="BI75" s="96">
        <v>0</v>
      </c>
      <c r="BJ75" s="96">
        <v>57276000</v>
      </c>
      <c r="BK75" s="96">
        <v>0</v>
      </c>
      <c r="BL75" s="104">
        <v>224503000</v>
      </c>
      <c r="BM75" s="104">
        <v>-38434000</v>
      </c>
      <c r="BN75" s="96">
        <v>45468000</v>
      </c>
      <c r="BO75" s="96">
        <v>0</v>
      </c>
      <c r="BP75" s="96">
        <v>7034000</v>
      </c>
      <c r="BQ75" s="96">
        <v>0</v>
      </c>
      <c r="BR75" s="96">
        <v>0</v>
      </c>
      <c r="BS75" s="104">
        <v>7034000</v>
      </c>
      <c r="BT75" s="105">
        <v>-0.20699999999999999</v>
      </c>
      <c r="BU75" s="105">
        <v>0</v>
      </c>
      <c r="BV75" s="105">
        <v>-0.20699999999999999</v>
      </c>
      <c r="BW75" s="106">
        <v>0</v>
      </c>
      <c r="BX75" s="107">
        <v>0</v>
      </c>
      <c r="BY75" s="107">
        <v>0</v>
      </c>
      <c r="BZ75" s="108">
        <v>0</v>
      </c>
      <c r="CA75" s="109">
        <v>0</v>
      </c>
      <c r="CB75" s="109">
        <v>0</v>
      </c>
      <c r="CC75" s="110">
        <v>0</v>
      </c>
      <c r="CD75" s="111">
        <v>0</v>
      </c>
      <c r="CE75" s="109">
        <v>0</v>
      </c>
      <c r="CF75" s="104">
        <v>-506586</v>
      </c>
      <c r="CG75" s="105">
        <v>-0.31</v>
      </c>
      <c r="CH75" s="105">
        <v>0</v>
      </c>
      <c r="CI75" s="105">
        <v>-0.31</v>
      </c>
    </row>
    <row r="76" spans="1:87" s="222" customFormat="1" ht="22.8" x14ac:dyDescent="0.3">
      <c r="A76" s="57">
        <v>10996</v>
      </c>
      <c r="B76" s="57" t="s">
        <v>151</v>
      </c>
      <c r="C76" s="57" t="s">
        <v>83</v>
      </c>
      <c r="D76" s="57">
        <v>3791</v>
      </c>
      <c r="E76" s="57">
        <v>2025</v>
      </c>
      <c r="F76" s="57" t="s">
        <v>275</v>
      </c>
      <c r="G76" s="57">
        <v>2</v>
      </c>
      <c r="H76" s="57">
        <v>6</v>
      </c>
      <c r="I76" s="57" t="s">
        <v>709</v>
      </c>
      <c r="J76" s="100">
        <v>0</v>
      </c>
      <c r="K76" s="100">
        <v>0</v>
      </c>
      <c r="L76" s="100">
        <v>0</v>
      </c>
      <c r="M76" s="100">
        <v>0</v>
      </c>
      <c r="N76" s="100">
        <v>0</v>
      </c>
      <c r="O76" s="100">
        <v>0</v>
      </c>
      <c r="P76" s="100">
        <v>0</v>
      </c>
      <c r="Q76" s="104">
        <v>0</v>
      </c>
      <c r="R76" s="100">
        <v>0</v>
      </c>
      <c r="S76" s="100">
        <v>0</v>
      </c>
      <c r="T76" s="100">
        <v>0</v>
      </c>
      <c r="U76" s="100">
        <v>0</v>
      </c>
      <c r="V76" s="100">
        <v>0</v>
      </c>
      <c r="W76" s="100">
        <v>0</v>
      </c>
      <c r="X76" s="104">
        <v>0</v>
      </c>
      <c r="Y76" s="100">
        <v>0</v>
      </c>
      <c r="Z76" s="104">
        <v>0</v>
      </c>
      <c r="AA76" s="104">
        <v>0</v>
      </c>
      <c r="AB76" s="100">
        <v>0</v>
      </c>
      <c r="AC76" s="100">
        <v>0</v>
      </c>
      <c r="AD76" s="100">
        <v>0</v>
      </c>
      <c r="AE76" s="100">
        <v>0</v>
      </c>
      <c r="AF76" s="104">
        <v>0</v>
      </c>
      <c r="AG76" s="100">
        <v>0</v>
      </c>
      <c r="AH76" s="100">
        <v>0</v>
      </c>
      <c r="AI76" s="100">
        <v>0</v>
      </c>
      <c r="AJ76" s="104">
        <v>0</v>
      </c>
      <c r="AK76" s="104">
        <v>0</v>
      </c>
      <c r="AL76" s="100">
        <v>0</v>
      </c>
      <c r="AM76" s="100">
        <v>0</v>
      </c>
      <c r="AN76" s="100">
        <v>0</v>
      </c>
      <c r="AO76" s="104">
        <v>0</v>
      </c>
      <c r="AP76" s="104">
        <v>0</v>
      </c>
      <c r="AQ76" s="100">
        <v>468978000</v>
      </c>
      <c r="AR76" s="100">
        <v>0</v>
      </c>
      <c r="AS76" s="100">
        <v>186862000</v>
      </c>
      <c r="AT76" s="100">
        <v>0</v>
      </c>
      <c r="AU76" s="100">
        <v>0</v>
      </c>
      <c r="AV76" s="100">
        <v>0</v>
      </c>
      <c r="AW76" s="104">
        <v>655840000</v>
      </c>
      <c r="AX76" s="100">
        <v>13037000</v>
      </c>
      <c r="AY76" s="100">
        <v>0</v>
      </c>
      <c r="AZ76" s="100">
        <v>735000</v>
      </c>
      <c r="BA76" s="100">
        <v>0</v>
      </c>
      <c r="BB76" s="100">
        <v>-46000</v>
      </c>
      <c r="BC76" s="104">
        <v>13726000</v>
      </c>
      <c r="BD76" s="104">
        <v>669566000</v>
      </c>
      <c r="BE76" s="100">
        <v>545443000</v>
      </c>
      <c r="BF76" s="100">
        <v>0</v>
      </c>
      <c r="BG76" s="100">
        <v>3902000</v>
      </c>
      <c r="BH76" s="100">
        <v>556000</v>
      </c>
      <c r="BI76" s="100">
        <v>0</v>
      </c>
      <c r="BJ76" s="100">
        <v>100808000</v>
      </c>
      <c r="BK76" s="100">
        <v>0</v>
      </c>
      <c r="BL76" s="104">
        <v>650709000</v>
      </c>
      <c r="BM76" s="104">
        <v>18857000</v>
      </c>
      <c r="BN76" s="100">
        <v>-13006000</v>
      </c>
      <c r="BO76" s="100">
        <v>-26000</v>
      </c>
      <c r="BP76" s="100">
        <v>5825000</v>
      </c>
      <c r="BQ76" s="100">
        <v>0</v>
      </c>
      <c r="BR76" s="100">
        <v>0</v>
      </c>
      <c r="BS76" s="104">
        <v>5825000</v>
      </c>
      <c r="BT76" s="105">
        <v>8.0000000000000002E-3</v>
      </c>
      <c r="BU76" s="105">
        <v>0.02</v>
      </c>
      <c r="BV76" s="105">
        <v>2.8000000000000001E-2</v>
      </c>
      <c r="BW76" s="106">
        <v>0</v>
      </c>
      <c r="BX76" s="107">
        <v>0</v>
      </c>
      <c r="BY76" s="107">
        <v>0</v>
      </c>
      <c r="BZ76" s="108">
        <v>41.9</v>
      </c>
      <c r="CA76" s="109">
        <v>0</v>
      </c>
      <c r="CB76" s="109">
        <v>0</v>
      </c>
      <c r="CC76" s="110">
        <v>0</v>
      </c>
      <c r="CD76" s="111">
        <v>0</v>
      </c>
      <c r="CE76" s="109">
        <v>0</v>
      </c>
      <c r="CF76" s="104">
        <v>-5554000</v>
      </c>
      <c r="CG76" s="105">
        <v>-0.40200000000000002</v>
      </c>
      <c r="CH76" s="105">
        <v>0</v>
      </c>
      <c r="CI76" s="105">
        <v>-0.40200000000000002</v>
      </c>
    </row>
    <row r="77" spans="1:87" s="222" customFormat="1" ht="34.200000000000003" x14ac:dyDescent="0.3">
      <c r="A77" s="57">
        <v>11002</v>
      </c>
      <c r="B77" s="57" t="s">
        <v>154</v>
      </c>
      <c r="C77" s="57" t="s">
        <v>83</v>
      </c>
      <c r="D77" s="57">
        <v>3791</v>
      </c>
      <c r="E77" s="57">
        <v>2025</v>
      </c>
      <c r="F77" s="57" t="s">
        <v>275</v>
      </c>
      <c r="G77" s="57">
        <v>2</v>
      </c>
      <c r="H77" s="57">
        <v>6</v>
      </c>
      <c r="I77" s="57" t="s">
        <v>709</v>
      </c>
      <c r="J77" s="100">
        <v>0</v>
      </c>
      <c r="K77" s="100">
        <v>0</v>
      </c>
      <c r="L77" s="100">
        <v>0</v>
      </c>
      <c r="M77" s="100">
        <v>0</v>
      </c>
      <c r="N77" s="100">
        <v>0</v>
      </c>
      <c r="O77" s="100">
        <v>0</v>
      </c>
      <c r="P77" s="100">
        <v>0</v>
      </c>
      <c r="Q77" s="104">
        <v>0</v>
      </c>
      <c r="R77" s="100">
        <v>0</v>
      </c>
      <c r="S77" s="100">
        <v>0</v>
      </c>
      <c r="T77" s="100">
        <v>0</v>
      </c>
      <c r="U77" s="100">
        <v>0</v>
      </c>
      <c r="V77" s="100">
        <v>0</v>
      </c>
      <c r="W77" s="100">
        <v>0</v>
      </c>
      <c r="X77" s="104">
        <v>0</v>
      </c>
      <c r="Y77" s="100">
        <v>0</v>
      </c>
      <c r="Z77" s="104">
        <v>0</v>
      </c>
      <c r="AA77" s="104">
        <v>0</v>
      </c>
      <c r="AB77" s="100">
        <v>0</v>
      </c>
      <c r="AC77" s="100">
        <v>0</v>
      </c>
      <c r="AD77" s="100">
        <v>0</v>
      </c>
      <c r="AE77" s="100">
        <v>0</v>
      </c>
      <c r="AF77" s="104">
        <v>0</v>
      </c>
      <c r="AG77" s="100">
        <v>0</v>
      </c>
      <c r="AH77" s="100">
        <v>0</v>
      </c>
      <c r="AI77" s="100">
        <v>0</v>
      </c>
      <c r="AJ77" s="104">
        <v>0</v>
      </c>
      <c r="AK77" s="104">
        <v>0</v>
      </c>
      <c r="AL77" s="100">
        <v>0</v>
      </c>
      <c r="AM77" s="100">
        <v>0</v>
      </c>
      <c r="AN77" s="100">
        <v>0</v>
      </c>
      <c r="AO77" s="104">
        <v>0</v>
      </c>
      <c r="AP77" s="104">
        <v>0</v>
      </c>
      <c r="AQ77" s="100">
        <v>552336000</v>
      </c>
      <c r="AR77" s="100">
        <v>0</v>
      </c>
      <c r="AS77" s="100">
        <v>283053000</v>
      </c>
      <c r="AT77" s="100">
        <v>0</v>
      </c>
      <c r="AU77" s="100">
        <v>0</v>
      </c>
      <c r="AV77" s="100">
        <v>0</v>
      </c>
      <c r="AW77" s="104">
        <v>835389000</v>
      </c>
      <c r="AX77" s="100">
        <v>17469000</v>
      </c>
      <c r="AY77" s="100">
        <v>0</v>
      </c>
      <c r="AZ77" s="100">
        <v>1150000</v>
      </c>
      <c r="BA77" s="100">
        <v>0</v>
      </c>
      <c r="BB77" s="100">
        <v>131000</v>
      </c>
      <c r="BC77" s="104">
        <v>18750000</v>
      </c>
      <c r="BD77" s="104">
        <v>854139000</v>
      </c>
      <c r="BE77" s="100">
        <v>698515000</v>
      </c>
      <c r="BF77" s="100">
        <v>0</v>
      </c>
      <c r="BG77" s="100">
        <v>9957000</v>
      </c>
      <c r="BH77" s="100">
        <v>735000</v>
      </c>
      <c r="BI77" s="100">
        <v>0</v>
      </c>
      <c r="BJ77" s="100">
        <v>132290000</v>
      </c>
      <c r="BK77" s="100">
        <v>0</v>
      </c>
      <c r="BL77" s="104">
        <v>841497000</v>
      </c>
      <c r="BM77" s="104">
        <v>12642000</v>
      </c>
      <c r="BN77" s="100">
        <v>-5811000</v>
      </c>
      <c r="BO77" s="100">
        <v>0</v>
      </c>
      <c r="BP77" s="100">
        <v>6831000</v>
      </c>
      <c r="BQ77" s="100">
        <v>0</v>
      </c>
      <c r="BR77" s="100">
        <v>0</v>
      </c>
      <c r="BS77" s="104">
        <v>6831000</v>
      </c>
      <c r="BT77" s="105">
        <v>-7.0000000000000001E-3</v>
      </c>
      <c r="BU77" s="105">
        <v>2.1999999999999999E-2</v>
      </c>
      <c r="BV77" s="105">
        <v>1.4999999999999999E-2</v>
      </c>
      <c r="BW77" s="106">
        <v>0</v>
      </c>
      <c r="BX77" s="107">
        <v>0</v>
      </c>
      <c r="BY77" s="107">
        <v>0</v>
      </c>
      <c r="BZ77" s="108">
        <v>31.7</v>
      </c>
      <c r="CA77" s="109">
        <v>0</v>
      </c>
      <c r="CB77" s="109">
        <v>0</v>
      </c>
      <c r="CC77" s="110">
        <v>0</v>
      </c>
      <c r="CD77" s="111">
        <v>0</v>
      </c>
      <c r="CE77" s="109">
        <v>0</v>
      </c>
      <c r="CF77" s="104">
        <v>-38434000</v>
      </c>
      <c r="CG77" s="105">
        <v>-0.20699999999999999</v>
      </c>
      <c r="CH77" s="105">
        <v>0</v>
      </c>
      <c r="CI77" s="105">
        <v>-0.20699999999999999</v>
      </c>
    </row>
    <row r="78" spans="1:87" s="222" customFormat="1" ht="22.8" x14ac:dyDescent="0.3">
      <c r="A78" s="57">
        <v>11004</v>
      </c>
      <c r="B78" s="57" t="s">
        <v>157</v>
      </c>
      <c r="C78" s="57" t="s">
        <v>83</v>
      </c>
      <c r="D78" s="57">
        <v>3791</v>
      </c>
      <c r="E78" s="57">
        <v>2025</v>
      </c>
      <c r="F78" s="57" t="s">
        <v>275</v>
      </c>
      <c r="G78" s="57">
        <v>2</v>
      </c>
      <c r="H78" s="57">
        <v>6</v>
      </c>
      <c r="I78" s="57" t="s">
        <v>709</v>
      </c>
      <c r="J78" s="100">
        <v>0</v>
      </c>
      <c r="K78" s="100">
        <v>0</v>
      </c>
      <c r="L78" s="100">
        <v>0</v>
      </c>
      <c r="M78" s="100">
        <v>0</v>
      </c>
      <c r="N78" s="100">
        <v>0</v>
      </c>
      <c r="O78" s="100">
        <v>0</v>
      </c>
      <c r="P78" s="100">
        <v>0</v>
      </c>
      <c r="Q78" s="104">
        <v>0</v>
      </c>
      <c r="R78" s="100">
        <v>0</v>
      </c>
      <c r="S78" s="100">
        <v>0</v>
      </c>
      <c r="T78" s="100">
        <v>0</v>
      </c>
      <c r="U78" s="100">
        <v>0</v>
      </c>
      <c r="V78" s="100">
        <v>0</v>
      </c>
      <c r="W78" s="100">
        <v>0</v>
      </c>
      <c r="X78" s="104">
        <v>0</v>
      </c>
      <c r="Y78" s="100">
        <v>0</v>
      </c>
      <c r="Z78" s="104">
        <v>0</v>
      </c>
      <c r="AA78" s="104">
        <v>0</v>
      </c>
      <c r="AB78" s="100">
        <v>0</v>
      </c>
      <c r="AC78" s="100">
        <v>0</v>
      </c>
      <c r="AD78" s="100">
        <v>0</v>
      </c>
      <c r="AE78" s="100">
        <v>0</v>
      </c>
      <c r="AF78" s="104">
        <v>0</v>
      </c>
      <c r="AG78" s="100">
        <v>0</v>
      </c>
      <c r="AH78" s="100">
        <v>0</v>
      </c>
      <c r="AI78" s="100">
        <v>0</v>
      </c>
      <c r="AJ78" s="104">
        <v>0</v>
      </c>
      <c r="AK78" s="104">
        <v>0</v>
      </c>
      <c r="AL78" s="100">
        <v>0</v>
      </c>
      <c r="AM78" s="100">
        <v>0</v>
      </c>
      <c r="AN78" s="100">
        <v>0</v>
      </c>
      <c r="AO78" s="104">
        <v>0</v>
      </c>
      <c r="AP78" s="104">
        <v>0</v>
      </c>
      <c r="AQ78" s="100">
        <v>95646000</v>
      </c>
      <c r="AR78" s="100">
        <v>0</v>
      </c>
      <c r="AS78" s="100">
        <v>24375000</v>
      </c>
      <c r="AT78" s="100">
        <v>0</v>
      </c>
      <c r="AU78" s="100">
        <v>0</v>
      </c>
      <c r="AV78" s="100">
        <v>0</v>
      </c>
      <c r="AW78" s="104">
        <v>120021000</v>
      </c>
      <c r="AX78" s="100">
        <v>-60000</v>
      </c>
      <c r="AY78" s="100">
        <v>0</v>
      </c>
      <c r="AZ78" s="100">
        <v>-4000</v>
      </c>
      <c r="BA78" s="100">
        <v>0</v>
      </c>
      <c r="BB78" s="100">
        <v>0</v>
      </c>
      <c r="BC78" s="104">
        <v>-64000</v>
      </c>
      <c r="BD78" s="104">
        <v>119957000</v>
      </c>
      <c r="BE78" s="100">
        <v>110413000</v>
      </c>
      <c r="BF78" s="100">
        <v>0</v>
      </c>
      <c r="BG78" s="100">
        <v>1268000</v>
      </c>
      <c r="BH78" s="100">
        <v>4000</v>
      </c>
      <c r="BI78" s="100">
        <v>0</v>
      </c>
      <c r="BJ78" s="100">
        <v>20286000</v>
      </c>
      <c r="BK78" s="100">
        <v>0</v>
      </c>
      <c r="BL78" s="104">
        <v>131971000</v>
      </c>
      <c r="BM78" s="104">
        <v>-12014000</v>
      </c>
      <c r="BN78" s="100">
        <v>8330000</v>
      </c>
      <c r="BO78" s="100">
        <v>0</v>
      </c>
      <c r="BP78" s="100">
        <v>-3684000</v>
      </c>
      <c r="BQ78" s="100">
        <v>0</v>
      </c>
      <c r="BR78" s="100">
        <v>0</v>
      </c>
      <c r="BS78" s="104">
        <v>-3684000</v>
      </c>
      <c r="BT78" s="105">
        <v>-0.1</v>
      </c>
      <c r="BU78" s="105">
        <v>-1E-3</v>
      </c>
      <c r="BV78" s="105">
        <v>-0.1</v>
      </c>
      <c r="BW78" s="106">
        <v>0</v>
      </c>
      <c r="BX78" s="107">
        <v>0</v>
      </c>
      <c r="BY78" s="107">
        <v>0</v>
      </c>
      <c r="BZ78" s="108">
        <v>-2685.5</v>
      </c>
      <c r="CA78" s="109">
        <v>0</v>
      </c>
      <c r="CB78" s="109">
        <v>0</v>
      </c>
      <c r="CC78" s="110">
        <v>0</v>
      </c>
      <c r="CD78" s="111">
        <v>0</v>
      </c>
      <c r="CE78" s="109">
        <v>0</v>
      </c>
      <c r="CF78" s="104">
        <v>11913000</v>
      </c>
      <c r="CG78" s="105">
        <v>4.0000000000000001E-3</v>
      </c>
      <c r="CH78" s="105">
        <v>1.9E-2</v>
      </c>
      <c r="CI78" s="105">
        <v>2.3E-2</v>
      </c>
    </row>
    <row r="79" spans="1:87" s="222" customFormat="1" ht="22.8" x14ac:dyDescent="0.3">
      <c r="A79" s="14">
        <v>11394</v>
      </c>
      <c r="B79" s="14" t="s">
        <v>616</v>
      </c>
      <c r="C79" s="14" t="s">
        <v>83</v>
      </c>
      <c r="D79" s="14">
        <v>3888</v>
      </c>
      <c r="E79" s="14">
        <v>2025</v>
      </c>
      <c r="F79" s="14" t="s">
        <v>630</v>
      </c>
      <c r="G79" s="14">
        <v>1</v>
      </c>
      <c r="H79" s="14">
        <v>3</v>
      </c>
      <c r="I79" s="14" t="s">
        <v>710</v>
      </c>
      <c r="J79" s="96">
        <v>0</v>
      </c>
      <c r="K79" s="96">
        <v>0</v>
      </c>
      <c r="L79" s="96">
        <v>0</v>
      </c>
      <c r="M79" s="96">
        <v>0</v>
      </c>
      <c r="N79" s="96">
        <v>0</v>
      </c>
      <c r="O79" s="96">
        <v>0</v>
      </c>
      <c r="P79" s="96">
        <v>0</v>
      </c>
      <c r="Q79" s="104">
        <v>0</v>
      </c>
      <c r="R79" s="96">
        <v>0</v>
      </c>
      <c r="S79" s="96">
        <v>0</v>
      </c>
      <c r="T79" s="96">
        <v>0</v>
      </c>
      <c r="U79" s="96">
        <v>0</v>
      </c>
      <c r="V79" s="96">
        <v>0</v>
      </c>
      <c r="W79" s="96">
        <v>0</v>
      </c>
      <c r="X79" s="104">
        <v>0</v>
      </c>
      <c r="Y79" s="96">
        <v>0</v>
      </c>
      <c r="Z79" s="104">
        <v>0</v>
      </c>
      <c r="AA79" s="104">
        <v>0</v>
      </c>
      <c r="AB79" s="96">
        <v>0</v>
      </c>
      <c r="AC79" s="96">
        <v>0</v>
      </c>
      <c r="AD79" s="96">
        <v>0</v>
      </c>
      <c r="AE79" s="96">
        <v>0</v>
      </c>
      <c r="AF79" s="104">
        <v>0</v>
      </c>
      <c r="AG79" s="96">
        <v>0</v>
      </c>
      <c r="AH79" s="96">
        <v>0</v>
      </c>
      <c r="AI79" s="96">
        <v>0</v>
      </c>
      <c r="AJ79" s="104">
        <v>0</v>
      </c>
      <c r="AK79" s="104">
        <v>0</v>
      </c>
      <c r="AL79" s="96">
        <v>0</v>
      </c>
      <c r="AM79" s="96">
        <v>0</v>
      </c>
      <c r="AN79" s="96">
        <v>0</v>
      </c>
      <c r="AO79" s="104">
        <v>0</v>
      </c>
      <c r="AP79" s="104">
        <v>0</v>
      </c>
      <c r="AQ79" s="96">
        <v>789429</v>
      </c>
      <c r="AR79" s="96">
        <v>0</v>
      </c>
      <c r="AS79" s="96">
        <v>842141</v>
      </c>
      <c r="AT79" s="96">
        <v>0</v>
      </c>
      <c r="AU79" s="96">
        <v>0</v>
      </c>
      <c r="AV79" s="96">
        <v>0</v>
      </c>
      <c r="AW79" s="104">
        <v>1631570</v>
      </c>
      <c r="AX79" s="96">
        <v>0</v>
      </c>
      <c r="AY79" s="96">
        <v>0</v>
      </c>
      <c r="AZ79" s="96">
        <v>0</v>
      </c>
      <c r="BA79" s="96">
        <v>0</v>
      </c>
      <c r="BB79" s="96">
        <v>0</v>
      </c>
      <c r="BC79" s="104">
        <v>0</v>
      </c>
      <c r="BD79" s="104">
        <v>1631570</v>
      </c>
      <c r="BE79" s="96">
        <v>2059311</v>
      </c>
      <c r="BF79" s="96">
        <v>0</v>
      </c>
      <c r="BG79" s="96">
        <v>12157</v>
      </c>
      <c r="BH79" s="96">
        <v>4169</v>
      </c>
      <c r="BI79" s="96">
        <v>0</v>
      </c>
      <c r="BJ79" s="96">
        <v>62519</v>
      </c>
      <c r="BK79" s="96">
        <v>0</v>
      </c>
      <c r="BL79" s="104">
        <v>2138156</v>
      </c>
      <c r="BM79" s="104">
        <v>-506586</v>
      </c>
      <c r="BN79" s="96">
        <v>0</v>
      </c>
      <c r="BO79" s="96">
        <v>0</v>
      </c>
      <c r="BP79" s="96">
        <v>-506586</v>
      </c>
      <c r="BQ79" s="96">
        <v>0</v>
      </c>
      <c r="BR79" s="96">
        <v>0</v>
      </c>
      <c r="BS79" s="104">
        <v>-506586</v>
      </c>
      <c r="BT79" s="105">
        <v>-0.31</v>
      </c>
      <c r="BU79" s="105">
        <v>0</v>
      </c>
      <c r="BV79" s="105">
        <v>-0.31</v>
      </c>
      <c r="BW79" s="106">
        <v>0</v>
      </c>
      <c r="BX79" s="107">
        <v>0</v>
      </c>
      <c r="BY79" s="107">
        <v>0</v>
      </c>
      <c r="BZ79" s="108">
        <v>-117.6</v>
      </c>
      <c r="CA79" s="109">
        <v>0</v>
      </c>
      <c r="CB79" s="109">
        <v>0</v>
      </c>
      <c r="CC79" s="110">
        <v>0</v>
      </c>
      <c r="CD79" s="111">
        <v>0</v>
      </c>
      <c r="CE79" s="109">
        <v>0</v>
      </c>
      <c r="CF79" s="104">
        <v>-31280000</v>
      </c>
      <c r="CG79" s="105">
        <v>-0.39</v>
      </c>
      <c r="CH79" s="105">
        <v>0</v>
      </c>
      <c r="CI79" s="105">
        <v>-0.39</v>
      </c>
    </row>
    <row r="80" spans="1:87" s="222" customFormat="1" ht="22.8" x14ac:dyDescent="0.3">
      <c r="A80" s="57">
        <v>11397</v>
      </c>
      <c r="B80" s="57" t="s">
        <v>182</v>
      </c>
      <c r="C80" s="57" t="s">
        <v>83</v>
      </c>
      <c r="D80" s="57">
        <v>12773</v>
      </c>
      <c r="E80" s="57">
        <v>2025</v>
      </c>
      <c r="F80" s="57" t="s">
        <v>275</v>
      </c>
      <c r="G80" s="57">
        <v>2</v>
      </c>
      <c r="H80" s="57">
        <v>6</v>
      </c>
      <c r="I80" s="57" t="s">
        <v>709</v>
      </c>
      <c r="J80" s="100">
        <v>0</v>
      </c>
      <c r="K80" s="100">
        <v>0</v>
      </c>
      <c r="L80" s="100">
        <v>0</v>
      </c>
      <c r="M80" s="100">
        <v>0</v>
      </c>
      <c r="N80" s="100">
        <v>0</v>
      </c>
      <c r="O80" s="100">
        <v>0</v>
      </c>
      <c r="P80" s="100">
        <v>0</v>
      </c>
      <c r="Q80" s="104">
        <v>0</v>
      </c>
      <c r="R80" s="100">
        <v>0</v>
      </c>
      <c r="S80" s="100">
        <v>0</v>
      </c>
      <c r="T80" s="100">
        <v>0</v>
      </c>
      <c r="U80" s="100">
        <v>0</v>
      </c>
      <c r="V80" s="100">
        <v>0</v>
      </c>
      <c r="W80" s="100">
        <v>0</v>
      </c>
      <c r="X80" s="104">
        <v>0</v>
      </c>
      <c r="Y80" s="100">
        <v>0</v>
      </c>
      <c r="Z80" s="104">
        <v>0</v>
      </c>
      <c r="AA80" s="104">
        <v>0</v>
      </c>
      <c r="AB80" s="100">
        <v>0</v>
      </c>
      <c r="AC80" s="100">
        <v>0</v>
      </c>
      <c r="AD80" s="100">
        <v>0</v>
      </c>
      <c r="AE80" s="100">
        <v>0</v>
      </c>
      <c r="AF80" s="104">
        <v>0</v>
      </c>
      <c r="AG80" s="100">
        <v>0</v>
      </c>
      <c r="AH80" s="100">
        <v>0</v>
      </c>
      <c r="AI80" s="100">
        <v>0</v>
      </c>
      <c r="AJ80" s="104">
        <v>0</v>
      </c>
      <c r="AK80" s="104">
        <v>0</v>
      </c>
      <c r="AL80" s="100">
        <v>0</v>
      </c>
      <c r="AM80" s="100">
        <v>0</v>
      </c>
      <c r="AN80" s="100">
        <v>0</v>
      </c>
      <c r="AO80" s="104">
        <v>0</v>
      </c>
      <c r="AP80" s="104">
        <v>0</v>
      </c>
      <c r="AQ80" s="100">
        <v>31977151</v>
      </c>
      <c r="AR80" s="100">
        <v>158972</v>
      </c>
      <c r="AS80" s="100">
        <v>2351579</v>
      </c>
      <c r="AT80" s="100">
        <v>0</v>
      </c>
      <c r="AU80" s="100">
        <v>0</v>
      </c>
      <c r="AV80" s="100">
        <v>0</v>
      </c>
      <c r="AW80" s="104">
        <v>34487702</v>
      </c>
      <c r="AX80" s="100">
        <v>0</v>
      </c>
      <c r="AY80" s="100">
        <v>0</v>
      </c>
      <c r="AZ80" s="100">
        <v>0</v>
      </c>
      <c r="BA80" s="100">
        <v>23905</v>
      </c>
      <c r="BB80" s="100">
        <v>0</v>
      </c>
      <c r="BC80" s="104">
        <v>23905</v>
      </c>
      <c r="BD80" s="104">
        <v>34511607</v>
      </c>
      <c r="BE80" s="100">
        <v>36751387</v>
      </c>
      <c r="BF80" s="100">
        <v>0</v>
      </c>
      <c r="BG80" s="100">
        <v>218961</v>
      </c>
      <c r="BH80" s="100">
        <v>0</v>
      </c>
      <c r="BI80" s="100">
        <v>1633716</v>
      </c>
      <c r="BJ80" s="100">
        <v>5878861</v>
      </c>
      <c r="BK80" s="100">
        <v>0</v>
      </c>
      <c r="BL80" s="104">
        <v>44482925</v>
      </c>
      <c r="BM80" s="104">
        <v>-9971318</v>
      </c>
      <c r="BN80" s="100">
        <v>0</v>
      </c>
      <c r="BO80" s="100">
        <v>0</v>
      </c>
      <c r="BP80" s="100">
        <v>-9971318</v>
      </c>
      <c r="BQ80" s="100">
        <v>0</v>
      </c>
      <c r="BR80" s="100">
        <v>0</v>
      </c>
      <c r="BS80" s="104">
        <v>-9971318</v>
      </c>
      <c r="BT80" s="105">
        <v>-0.28999999999999998</v>
      </c>
      <c r="BU80" s="105">
        <v>1E-3</v>
      </c>
      <c r="BV80" s="105">
        <v>-0.28899999999999998</v>
      </c>
      <c r="BW80" s="106">
        <v>0</v>
      </c>
      <c r="BX80" s="107">
        <v>0</v>
      </c>
      <c r="BY80" s="107">
        <v>0</v>
      </c>
      <c r="BZ80" s="108">
        <v>0</v>
      </c>
      <c r="CA80" s="109">
        <v>0</v>
      </c>
      <c r="CB80" s="109">
        <v>0</v>
      </c>
      <c r="CC80" s="110">
        <v>0</v>
      </c>
      <c r="CD80" s="111">
        <v>0</v>
      </c>
      <c r="CE80" s="109">
        <v>0</v>
      </c>
      <c r="CF80" s="104">
        <v>-3158000</v>
      </c>
      <c r="CG80" s="105">
        <v>-3.4000000000000002E-2</v>
      </c>
      <c r="CH80" s="105">
        <v>0.01</v>
      </c>
      <c r="CI80" s="105">
        <v>-2.4E-2</v>
      </c>
    </row>
    <row r="81" spans="1:87" s="222" customFormat="1" ht="22.8" x14ac:dyDescent="0.3">
      <c r="A81" s="57">
        <v>11404</v>
      </c>
      <c r="B81" s="57" t="s">
        <v>108</v>
      </c>
      <c r="C81" s="57" t="s">
        <v>83</v>
      </c>
      <c r="D81" s="57">
        <v>16665</v>
      </c>
      <c r="E81" s="57">
        <v>2025</v>
      </c>
      <c r="F81" s="57" t="s">
        <v>275</v>
      </c>
      <c r="G81" s="57">
        <v>2</v>
      </c>
      <c r="H81" s="57">
        <v>6</v>
      </c>
      <c r="I81" s="57" t="s">
        <v>709</v>
      </c>
      <c r="J81" s="100">
        <v>0</v>
      </c>
      <c r="K81" s="100">
        <v>0</v>
      </c>
      <c r="L81" s="100">
        <v>0</v>
      </c>
      <c r="M81" s="100">
        <v>0</v>
      </c>
      <c r="N81" s="100">
        <v>0</v>
      </c>
      <c r="O81" s="100">
        <v>0</v>
      </c>
      <c r="P81" s="100">
        <v>0</v>
      </c>
      <c r="Q81" s="104">
        <v>0</v>
      </c>
      <c r="R81" s="100">
        <v>0</v>
      </c>
      <c r="S81" s="100">
        <v>0</v>
      </c>
      <c r="T81" s="100">
        <v>0</v>
      </c>
      <c r="U81" s="100">
        <v>0</v>
      </c>
      <c r="V81" s="100">
        <v>0</v>
      </c>
      <c r="W81" s="100">
        <v>0</v>
      </c>
      <c r="X81" s="104">
        <v>0</v>
      </c>
      <c r="Y81" s="100">
        <v>0</v>
      </c>
      <c r="Z81" s="104">
        <v>0</v>
      </c>
      <c r="AA81" s="104">
        <v>0</v>
      </c>
      <c r="AB81" s="100">
        <v>0</v>
      </c>
      <c r="AC81" s="100">
        <v>0</v>
      </c>
      <c r="AD81" s="100">
        <v>0</v>
      </c>
      <c r="AE81" s="100">
        <v>0</v>
      </c>
      <c r="AF81" s="104">
        <v>0</v>
      </c>
      <c r="AG81" s="100">
        <v>0</v>
      </c>
      <c r="AH81" s="100">
        <v>0</v>
      </c>
      <c r="AI81" s="100">
        <v>0</v>
      </c>
      <c r="AJ81" s="104">
        <v>0</v>
      </c>
      <c r="AK81" s="104">
        <v>0</v>
      </c>
      <c r="AL81" s="100">
        <v>0</v>
      </c>
      <c r="AM81" s="100">
        <v>0</v>
      </c>
      <c r="AN81" s="100">
        <v>0</v>
      </c>
      <c r="AO81" s="104">
        <v>0</v>
      </c>
      <c r="AP81" s="104">
        <v>0</v>
      </c>
      <c r="AQ81" s="100">
        <v>41470000</v>
      </c>
      <c r="AR81" s="100">
        <v>0</v>
      </c>
      <c r="AS81" s="100">
        <v>6697000</v>
      </c>
      <c r="AT81" s="100">
        <v>0</v>
      </c>
      <c r="AU81" s="100">
        <v>0</v>
      </c>
      <c r="AV81" s="100">
        <v>0</v>
      </c>
      <c r="AW81" s="104">
        <v>48167000</v>
      </c>
      <c r="AX81" s="100">
        <v>0</v>
      </c>
      <c r="AY81" s="100">
        <v>0</v>
      </c>
      <c r="AZ81" s="100">
        <v>0</v>
      </c>
      <c r="BA81" s="100">
        <v>0</v>
      </c>
      <c r="BB81" s="100">
        <v>912000</v>
      </c>
      <c r="BC81" s="104">
        <v>912000</v>
      </c>
      <c r="BD81" s="104">
        <v>49079000</v>
      </c>
      <c r="BE81" s="100">
        <v>33223000</v>
      </c>
      <c r="BF81" s="100">
        <v>0</v>
      </c>
      <c r="BG81" s="100">
        <v>649000</v>
      </c>
      <c r="BH81" s="100">
        <v>0</v>
      </c>
      <c r="BI81" s="100">
        <v>0</v>
      </c>
      <c r="BJ81" s="100">
        <v>27943000</v>
      </c>
      <c r="BK81" s="100">
        <v>0</v>
      </c>
      <c r="BL81" s="104">
        <v>61815000</v>
      </c>
      <c r="BM81" s="104">
        <v>-12736000</v>
      </c>
      <c r="BN81" s="100">
        <v>0</v>
      </c>
      <c r="BO81" s="100">
        <v>0</v>
      </c>
      <c r="BP81" s="100">
        <v>-12736000</v>
      </c>
      <c r="BQ81" s="100">
        <v>0</v>
      </c>
      <c r="BR81" s="100">
        <v>0</v>
      </c>
      <c r="BS81" s="104">
        <v>-12736000</v>
      </c>
      <c r="BT81" s="105">
        <v>-0.27800000000000002</v>
      </c>
      <c r="BU81" s="105">
        <v>1.9E-2</v>
      </c>
      <c r="BV81" s="105">
        <v>-0.25900000000000001</v>
      </c>
      <c r="BW81" s="106">
        <v>0</v>
      </c>
      <c r="BX81" s="107">
        <v>0</v>
      </c>
      <c r="BY81" s="107">
        <v>0</v>
      </c>
      <c r="BZ81" s="108">
        <v>0</v>
      </c>
      <c r="CA81" s="109">
        <v>0</v>
      </c>
      <c r="CB81" s="109">
        <v>0</v>
      </c>
      <c r="CC81" s="110">
        <v>0</v>
      </c>
      <c r="CD81" s="111">
        <v>0</v>
      </c>
      <c r="CE81" s="109">
        <v>0</v>
      </c>
      <c r="CF81" s="104">
        <v>0</v>
      </c>
      <c r="CG81" s="105">
        <v>0</v>
      </c>
      <c r="CH81" s="105">
        <v>0</v>
      </c>
      <c r="CI81" s="105">
        <v>0</v>
      </c>
    </row>
    <row r="82" spans="1:87" s="222" customFormat="1" ht="22.8" x14ac:dyDescent="0.3">
      <c r="A82" s="14">
        <v>11408</v>
      </c>
      <c r="B82" s="14" t="s">
        <v>110</v>
      </c>
      <c r="C82" s="14" t="s">
        <v>83</v>
      </c>
      <c r="D82" s="14">
        <v>16665</v>
      </c>
      <c r="E82" s="14">
        <v>2025</v>
      </c>
      <c r="F82" s="14" t="s">
        <v>275</v>
      </c>
      <c r="G82" s="14">
        <v>2</v>
      </c>
      <c r="H82" s="14">
        <v>6</v>
      </c>
      <c r="I82" s="14" t="s">
        <v>709</v>
      </c>
      <c r="J82" s="96">
        <v>0</v>
      </c>
      <c r="K82" s="96">
        <v>0</v>
      </c>
      <c r="L82" s="96">
        <v>0</v>
      </c>
      <c r="M82" s="96">
        <v>0</v>
      </c>
      <c r="N82" s="96">
        <v>0</v>
      </c>
      <c r="O82" s="96">
        <v>0</v>
      </c>
      <c r="P82" s="96">
        <v>0</v>
      </c>
      <c r="Q82" s="104">
        <v>0</v>
      </c>
      <c r="R82" s="96">
        <v>0</v>
      </c>
      <c r="S82" s="96">
        <v>0</v>
      </c>
      <c r="T82" s="96">
        <v>0</v>
      </c>
      <c r="U82" s="96">
        <v>0</v>
      </c>
      <c r="V82" s="96">
        <v>0</v>
      </c>
      <c r="W82" s="96">
        <v>0</v>
      </c>
      <c r="X82" s="104">
        <v>0</v>
      </c>
      <c r="Y82" s="96">
        <v>0</v>
      </c>
      <c r="Z82" s="104">
        <v>0</v>
      </c>
      <c r="AA82" s="104">
        <v>0</v>
      </c>
      <c r="AB82" s="96">
        <v>0</v>
      </c>
      <c r="AC82" s="96">
        <v>0</v>
      </c>
      <c r="AD82" s="96">
        <v>0</v>
      </c>
      <c r="AE82" s="96">
        <v>0</v>
      </c>
      <c r="AF82" s="104">
        <v>0</v>
      </c>
      <c r="AG82" s="96">
        <v>0</v>
      </c>
      <c r="AH82" s="96">
        <v>0</v>
      </c>
      <c r="AI82" s="96">
        <v>0</v>
      </c>
      <c r="AJ82" s="104">
        <v>0</v>
      </c>
      <c r="AK82" s="104">
        <v>0</v>
      </c>
      <c r="AL82" s="96">
        <v>0</v>
      </c>
      <c r="AM82" s="96">
        <v>0</v>
      </c>
      <c r="AN82" s="96">
        <v>0</v>
      </c>
      <c r="AO82" s="104">
        <v>0</v>
      </c>
      <c r="AP82" s="104">
        <v>0</v>
      </c>
      <c r="AQ82" s="96">
        <v>31246000</v>
      </c>
      <c r="AR82" s="96">
        <v>0</v>
      </c>
      <c r="AS82" s="96">
        <v>677000</v>
      </c>
      <c r="AT82" s="96">
        <v>0</v>
      </c>
      <c r="AU82" s="96">
        <v>0</v>
      </c>
      <c r="AV82" s="96">
        <v>0</v>
      </c>
      <c r="AW82" s="104">
        <v>31923000</v>
      </c>
      <c r="AX82" s="96">
        <v>0</v>
      </c>
      <c r="AY82" s="96">
        <v>0</v>
      </c>
      <c r="AZ82" s="96">
        <v>0</v>
      </c>
      <c r="BA82" s="96">
        <v>-13000</v>
      </c>
      <c r="BB82" s="96">
        <v>-604000</v>
      </c>
      <c r="BC82" s="104">
        <v>-617000</v>
      </c>
      <c r="BD82" s="104">
        <v>31306000</v>
      </c>
      <c r="BE82" s="96">
        <v>31134000</v>
      </c>
      <c r="BF82" s="96">
        <v>0</v>
      </c>
      <c r="BG82" s="96">
        <v>230000</v>
      </c>
      <c r="BH82" s="96">
        <v>0</v>
      </c>
      <c r="BI82" s="96">
        <v>0</v>
      </c>
      <c r="BJ82" s="96">
        <v>16247000</v>
      </c>
      <c r="BK82" s="96">
        <v>0</v>
      </c>
      <c r="BL82" s="104">
        <v>47611000</v>
      </c>
      <c r="BM82" s="104">
        <v>-16305000</v>
      </c>
      <c r="BN82" s="96">
        <v>6969000</v>
      </c>
      <c r="BO82" s="96">
        <v>0</v>
      </c>
      <c r="BP82" s="96">
        <v>-9336000</v>
      </c>
      <c r="BQ82" s="96">
        <v>0</v>
      </c>
      <c r="BR82" s="96">
        <v>0</v>
      </c>
      <c r="BS82" s="104">
        <v>-9336000</v>
      </c>
      <c r="BT82" s="105">
        <v>-0.501</v>
      </c>
      <c r="BU82" s="105">
        <v>-0.02</v>
      </c>
      <c r="BV82" s="105">
        <v>-0.52100000000000002</v>
      </c>
      <c r="BW82" s="106">
        <v>0</v>
      </c>
      <c r="BX82" s="107">
        <v>0</v>
      </c>
      <c r="BY82" s="107">
        <v>0</v>
      </c>
      <c r="BZ82" s="108">
        <v>0</v>
      </c>
      <c r="CA82" s="109">
        <v>0</v>
      </c>
      <c r="CB82" s="109">
        <v>0</v>
      </c>
      <c r="CC82" s="110">
        <v>0</v>
      </c>
      <c r="CD82" s="111">
        <v>0</v>
      </c>
      <c r="CE82" s="109">
        <v>0</v>
      </c>
      <c r="CF82" s="104">
        <v>0</v>
      </c>
      <c r="CG82" s="105">
        <v>0</v>
      </c>
      <c r="CH82" s="105">
        <v>0</v>
      </c>
      <c r="CI82" s="105">
        <v>0</v>
      </c>
    </row>
    <row r="83" spans="1:87" s="222" customFormat="1" ht="22.8" x14ac:dyDescent="0.3">
      <c r="A83" s="57">
        <v>11490</v>
      </c>
      <c r="B83" s="57" t="s">
        <v>82</v>
      </c>
      <c r="C83" s="57" t="s">
        <v>83</v>
      </c>
      <c r="D83" s="57">
        <v>4066</v>
      </c>
      <c r="E83" s="57">
        <v>2025</v>
      </c>
      <c r="F83" s="57" t="s">
        <v>275</v>
      </c>
      <c r="G83" s="57">
        <v>2</v>
      </c>
      <c r="H83" s="57">
        <v>6</v>
      </c>
      <c r="I83" s="57" t="s">
        <v>709</v>
      </c>
      <c r="J83" s="100">
        <v>0</v>
      </c>
      <c r="K83" s="100">
        <v>0</v>
      </c>
      <c r="L83" s="100">
        <v>0</v>
      </c>
      <c r="M83" s="100">
        <v>0</v>
      </c>
      <c r="N83" s="100">
        <v>0</v>
      </c>
      <c r="O83" s="100">
        <v>0</v>
      </c>
      <c r="P83" s="100">
        <v>0</v>
      </c>
      <c r="Q83" s="104">
        <v>0</v>
      </c>
      <c r="R83" s="100">
        <v>0</v>
      </c>
      <c r="S83" s="100">
        <v>0</v>
      </c>
      <c r="T83" s="100">
        <v>0</v>
      </c>
      <c r="U83" s="100">
        <v>0</v>
      </c>
      <c r="V83" s="100">
        <v>0</v>
      </c>
      <c r="W83" s="100">
        <v>0</v>
      </c>
      <c r="X83" s="104">
        <v>0</v>
      </c>
      <c r="Y83" s="100">
        <v>0</v>
      </c>
      <c r="Z83" s="104">
        <v>0</v>
      </c>
      <c r="AA83" s="104">
        <v>0</v>
      </c>
      <c r="AB83" s="100">
        <v>0</v>
      </c>
      <c r="AC83" s="100">
        <v>0</v>
      </c>
      <c r="AD83" s="100">
        <v>0</v>
      </c>
      <c r="AE83" s="100">
        <v>0</v>
      </c>
      <c r="AF83" s="104">
        <v>0</v>
      </c>
      <c r="AG83" s="100">
        <v>0</v>
      </c>
      <c r="AH83" s="100">
        <v>0</v>
      </c>
      <c r="AI83" s="100">
        <v>0</v>
      </c>
      <c r="AJ83" s="104">
        <v>0</v>
      </c>
      <c r="AK83" s="104">
        <v>0</v>
      </c>
      <c r="AL83" s="100">
        <v>0</v>
      </c>
      <c r="AM83" s="100">
        <v>0</v>
      </c>
      <c r="AN83" s="100">
        <v>0</v>
      </c>
      <c r="AO83" s="104">
        <v>0</v>
      </c>
      <c r="AP83" s="104">
        <v>0</v>
      </c>
      <c r="AQ83" s="100">
        <v>120855000</v>
      </c>
      <c r="AR83" s="100">
        <v>0</v>
      </c>
      <c r="AS83" s="100">
        <v>118029000</v>
      </c>
      <c r="AT83" s="100">
        <v>0</v>
      </c>
      <c r="AU83" s="100">
        <v>0</v>
      </c>
      <c r="AV83" s="100">
        <v>352000</v>
      </c>
      <c r="AW83" s="104">
        <v>239236000</v>
      </c>
      <c r="AX83" s="100">
        <v>0</v>
      </c>
      <c r="AY83" s="100">
        <v>0</v>
      </c>
      <c r="AZ83" s="100">
        <v>0</v>
      </c>
      <c r="BA83" s="100">
        <v>-9000</v>
      </c>
      <c r="BB83" s="100">
        <v>0</v>
      </c>
      <c r="BC83" s="104">
        <v>-9000</v>
      </c>
      <c r="BD83" s="104">
        <v>239227000</v>
      </c>
      <c r="BE83" s="100">
        <v>225948000</v>
      </c>
      <c r="BF83" s="100">
        <v>0</v>
      </c>
      <c r="BG83" s="100">
        <v>755000</v>
      </c>
      <c r="BH83" s="100">
        <v>0</v>
      </c>
      <c r="BI83" s="100">
        <v>0</v>
      </c>
      <c r="BJ83" s="100">
        <v>63862000</v>
      </c>
      <c r="BK83" s="100">
        <v>576000</v>
      </c>
      <c r="BL83" s="104">
        <v>291141000</v>
      </c>
      <c r="BM83" s="104">
        <v>-51914000</v>
      </c>
      <c r="BN83" s="100">
        <v>37500000</v>
      </c>
      <c r="BO83" s="100">
        <v>0</v>
      </c>
      <c r="BP83" s="100">
        <v>-14414000</v>
      </c>
      <c r="BQ83" s="100">
        <v>0</v>
      </c>
      <c r="BR83" s="100">
        <v>0</v>
      </c>
      <c r="BS83" s="104">
        <v>-14414000</v>
      </c>
      <c r="BT83" s="105">
        <v>-0.217</v>
      </c>
      <c r="BU83" s="105">
        <v>0</v>
      </c>
      <c r="BV83" s="105">
        <v>-0.217</v>
      </c>
      <c r="BW83" s="106">
        <v>0</v>
      </c>
      <c r="BX83" s="107">
        <v>0</v>
      </c>
      <c r="BY83" s="107">
        <v>0</v>
      </c>
      <c r="BZ83" s="108">
        <v>0</v>
      </c>
      <c r="CA83" s="109">
        <v>0</v>
      </c>
      <c r="CB83" s="109">
        <v>0</v>
      </c>
      <c r="CC83" s="110">
        <v>0</v>
      </c>
      <c r="CD83" s="111">
        <v>0</v>
      </c>
      <c r="CE83" s="109">
        <v>0</v>
      </c>
      <c r="CF83" s="104">
        <v>-99456</v>
      </c>
      <c r="CG83" s="105">
        <v>-0.44900000000000001</v>
      </c>
      <c r="CH83" s="105">
        <v>0</v>
      </c>
      <c r="CI83" s="105">
        <v>-0.44900000000000001</v>
      </c>
    </row>
    <row r="84" spans="1:87" s="222" customFormat="1" ht="22.8" x14ac:dyDescent="0.3">
      <c r="A84" s="14">
        <v>11497</v>
      </c>
      <c r="B84" s="14" t="s">
        <v>172</v>
      </c>
      <c r="C84" s="14" t="s">
        <v>83</v>
      </c>
      <c r="D84" s="14">
        <v>4027</v>
      </c>
      <c r="E84" s="14">
        <v>2025</v>
      </c>
      <c r="F84" s="14" t="s">
        <v>275</v>
      </c>
      <c r="G84" s="14">
        <v>2</v>
      </c>
      <c r="H84" s="14">
        <v>6</v>
      </c>
      <c r="I84" s="14" t="s">
        <v>709</v>
      </c>
      <c r="J84" s="96">
        <v>0</v>
      </c>
      <c r="K84" s="96">
        <v>0</v>
      </c>
      <c r="L84" s="96">
        <v>0</v>
      </c>
      <c r="M84" s="96">
        <v>0</v>
      </c>
      <c r="N84" s="96">
        <v>0</v>
      </c>
      <c r="O84" s="96">
        <v>0</v>
      </c>
      <c r="P84" s="96">
        <v>0</v>
      </c>
      <c r="Q84" s="104">
        <v>0</v>
      </c>
      <c r="R84" s="96">
        <v>0</v>
      </c>
      <c r="S84" s="96">
        <v>0</v>
      </c>
      <c r="T84" s="96">
        <v>0</v>
      </c>
      <c r="U84" s="96">
        <v>0</v>
      </c>
      <c r="V84" s="96">
        <v>0</v>
      </c>
      <c r="W84" s="96">
        <v>0</v>
      </c>
      <c r="X84" s="104">
        <v>0</v>
      </c>
      <c r="Y84" s="96">
        <v>0</v>
      </c>
      <c r="Z84" s="104">
        <v>0</v>
      </c>
      <c r="AA84" s="104">
        <v>0</v>
      </c>
      <c r="AB84" s="96">
        <v>0</v>
      </c>
      <c r="AC84" s="96">
        <v>0</v>
      </c>
      <c r="AD84" s="96">
        <v>0</v>
      </c>
      <c r="AE84" s="96">
        <v>0</v>
      </c>
      <c r="AF84" s="104">
        <v>0</v>
      </c>
      <c r="AG84" s="96">
        <v>0</v>
      </c>
      <c r="AH84" s="96">
        <v>0</v>
      </c>
      <c r="AI84" s="96">
        <v>0</v>
      </c>
      <c r="AJ84" s="104">
        <v>0</v>
      </c>
      <c r="AK84" s="104">
        <v>0</v>
      </c>
      <c r="AL84" s="96">
        <v>0</v>
      </c>
      <c r="AM84" s="96">
        <v>0</v>
      </c>
      <c r="AN84" s="96">
        <v>0</v>
      </c>
      <c r="AO84" s="104">
        <v>0</v>
      </c>
      <c r="AP84" s="104">
        <v>0</v>
      </c>
      <c r="AQ84" s="96">
        <v>124557248.43000001</v>
      </c>
      <c r="AR84" s="96">
        <v>0</v>
      </c>
      <c r="AS84" s="96">
        <v>42392572.210000001</v>
      </c>
      <c r="AT84" s="96">
        <v>0</v>
      </c>
      <c r="AU84" s="96">
        <v>0</v>
      </c>
      <c r="AV84" s="96">
        <v>0</v>
      </c>
      <c r="AW84" s="104">
        <v>166949820.63999999</v>
      </c>
      <c r="AX84" s="96">
        <v>0</v>
      </c>
      <c r="AY84" s="96">
        <v>0</v>
      </c>
      <c r="AZ84" s="96">
        <v>0</v>
      </c>
      <c r="BA84" s="96">
        <v>0</v>
      </c>
      <c r="BB84" s="96">
        <v>0</v>
      </c>
      <c r="BC84" s="104">
        <v>0</v>
      </c>
      <c r="BD84" s="104">
        <v>166949820.63999999</v>
      </c>
      <c r="BE84" s="96">
        <v>171159446.59999999</v>
      </c>
      <c r="BF84" s="96">
        <v>0</v>
      </c>
      <c r="BG84" s="96">
        <v>1570939.83</v>
      </c>
      <c r="BH84" s="96">
        <v>0</v>
      </c>
      <c r="BI84" s="96">
        <v>0</v>
      </c>
      <c r="BJ84" s="96">
        <v>32443935.719999999</v>
      </c>
      <c r="BK84" s="96">
        <v>0</v>
      </c>
      <c r="BL84" s="104">
        <v>205174322.15000001</v>
      </c>
      <c r="BM84" s="104">
        <v>-38224501.509999998</v>
      </c>
      <c r="BN84" s="96">
        <v>38224501.509999998</v>
      </c>
      <c r="BO84" s="96">
        <v>0</v>
      </c>
      <c r="BP84" s="96">
        <v>-2.2351741790771501E-8</v>
      </c>
      <c r="BQ84" s="96">
        <v>0</v>
      </c>
      <c r="BR84" s="96">
        <v>0</v>
      </c>
      <c r="BS84" s="104">
        <v>-2.2351741790771501E-8</v>
      </c>
      <c r="BT84" s="105">
        <v>-0.22900000000000001</v>
      </c>
      <c r="BU84" s="105">
        <v>0</v>
      </c>
      <c r="BV84" s="105">
        <v>-0.22900000000000001</v>
      </c>
      <c r="BW84" s="106">
        <v>0</v>
      </c>
      <c r="BX84" s="107">
        <v>0</v>
      </c>
      <c r="BY84" s="107">
        <v>0</v>
      </c>
      <c r="BZ84" s="108">
        <v>0</v>
      </c>
      <c r="CA84" s="109">
        <v>0</v>
      </c>
      <c r="CB84" s="109">
        <v>0</v>
      </c>
      <c r="CC84" s="110">
        <v>0</v>
      </c>
      <c r="CD84" s="111">
        <v>0</v>
      </c>
      <c r="CE84" s="109">
        <v>0</v>
      </c>
      <c r="CF84" s="104">
        <v>-3787016</v>
      </c>
      <c r="CG84" s="105">
        <v>-0.41899999999999998</v>
      </c>
      <c r="CH84" s="105">
        <v>0</v>
      </c>
      <c r="CI84" s="105">
        <v>-0.41899999999999998</v>
      </c>
    </row>
    <row r="85" spans="1:87" s="222" customFormat="1" ht="22.8" x14ac:dyDescent="0.3">
      <c r="A85" s="57">
        <v>11761</v>
      </c>
      <c r="B85" s="57" t="s">
        <v>103</v>
      </c>
      <c r="C85" s="57" t="s">
        <v>83</v>
      </c>
      <c r="D85" s="57">
        <v>16665</v>
      </c>
      <c r="E85" s="57">
        <v>2025</v>
      </c>
      <c r="F85" s="57" t="s">
        <v>275</v>
      </c>
      <c r="G85" s="57">
        <v>2</v>
      </c>
      <c r="H85" s="57">
        <v>6</v>
      </c>
      <c r="I85" s="57" t="s">
        <v>709</v>
      </c>
      <c r="J85" s="100">
        <v>0</v>
      </c>
      <c r="K85" s="100">
        <v>0</v>
      </c>
      <c r="L85" s="100">
        <v>0</v>
      </c>
      <c r="M85" s="100">
        <v>0</v>
      </c>
      <c r="N85" s="100">
        <v>0</v>
      </c>
      <c r="O85" s="100">
        <v>0</v>
      </c>
      <c r="P85" s="100">
        <v>0</v>
      </c>
      <c r="Q85" s="104">
        <v>0</v>
      </c>
      <c r="R85" s="100">
        <v>0</v>
      </c>
      <c r="S85" s="100">
        <v>0</v>
      </c>
      <c r="T85" s="100">
        <v>0</v>
      </c>
      <c r="U85" s="100">
        <v>0</v>
      </c>
      <c r="V85" s="100">
        <v>0</v>
      </c>
      <c r="W85" s="100">
        <v>0</v>
      </c>
      <c r="X85" s="104">
        <v>0</v>
      </c>
      <c r="Y85" s="100">
        <v>0</v>
      </c>
      <c r="Z85" s="104">
        <v>0</v>
      </c>
      <c r="AA85" s="104">
        <v>0</v>
      </c>
      <c r="AB85" s="100">
        <v>0</v>
      </c>
      <c r="AC85" s="100">
        <v>0</v>
      </c>
      <c r="AD85" s="100">
        <v>0</v>
      </c>
      <c r="AE85" s="100">
        <v>0</v>
      </c>
      <c r="AF85" s="104">
        <v>0</v>
      </c>
      <c r="AG85" s="100">
        <v>0</v>
      </c>
      <c r="AH85" s="100">
        <v>0</v>
      </c>
      <c r="AI85" s="100">
        <v>0</v>
      </c>
      <c r="AJ85" s="104">
        <v>0</v>
      </c>
      <c r="AK85" s="104">
        <v>0</v>
      </c>
      <c r="AL85" s="100">
        <v>0</v>
      </c>
      <c r="AM85" s="100">
        <v>0</v>
      </c>
      <c r="AN85" s="100">
        <v>0</v>
      </c>
      <c r="AO85" s="104">
        <v>0</v>
      </c>
      <c r="AP85" s="104">
        <v>0</v>
      </c>
      <c r="AQ85" s="100">
        <v>888000</v>
      </c>
      <c r="AR85" s="100">
        <v>0</v>
      </c>
      <c r="AS85" s="100">
        <v>62000</v>
      </c>
      <c r="AT85" s="100">
        <v>0</v>
      </c>
      <c r="AU85" s="100">
        <v>0</v>
      </c>
      <c r="AV85" s="100">
        <v>0</v>
      </c>
      <c r="AW85" s="104">
        <v>950000</v>
      </c>
      <c r="AX85" s="100">
        <v>0</v>
      </c>
      <c r="AY85" s="100">
        <v>0</v>
      </c>
      <c r="AZ85" s="100">
        <v>0</v>
      </c>
      <c r="BA85" s="100">
        <v>0</v>
      </c>
      <c r="BB85" s="100">
        <v>0</v>
      </c>
      <c r="BC85" s="104">
        <v>0</v>
      </c>
      <c r="BD85" s="104">
        <v>950000</v>
      </c>
      <c r="BE85" s="100">
        <v>3387000</v>
      </c>
      <c r="BF85" s="100">
        <v>0</v>
      </c>
      <c r="BG85" s="100">
        <v>27000</v>
      </c>
      <c r="BH85" s="100">
        <v>0</v>
      </c>
      <c r="BI85" s="100">
        <v>0</v>
      </c>
      <c r="BJ85" s="100">
        <v>777000</v>
      </c>
      <c r="BK85" s="100">
        <v>0</v>
      </c>
      <c r="BL85" s="104">
        <v>4191000</v>
      </c>
      <c r="BM85" s="104">
        <v>-3241000</v>
      </c>
      <c r="BN85" s="100">
        <v>0</v>
      </c>
      <c r="BO85" s="100">
        <v>0</v>
      </c>
      <c r="BP85" s="100">
        <v>-3241000</v>
      </c>
      <c r="BQ85" s="100">
        <v>0</v>
      </c>
      <c r="BR85" s="100">
        <v>0</v>
      </c>
      <c r="BS85" s="104">
        <v>-3241000</v>
      </c>
      <c r="BT85" s="105">
        <v>-3.4119999999999999</v>
      </c>
      <c r="BU85" s="105">
        <v>0</v>
      </c>
      <c r="BV85" s="105">
        <v>-3.4119999999999999</v>
      </c>
      <c r="BW85" s="106">
        <v>0</v>
      </c>
      <c r="BX85" s="107">
        <v>0</v>
      </c>
      <c r="BY85" s="107">
        <v>0</v>
      </c>
      <c r="BZ85" s="108">
        <v>0</v>
      </c>
      <c r="CA85" s="109">
        <v>0</v>
      </c>
      <c r="CB85" s="109">
        <v>0</v>
      </c>
      <c r="CC85" s="110">
        <v>0</v>
      </c>
      <c r="CD85" s="111">
        <v>0</v>
      </c>
      <c r="CE85" s="109">
        <v>0</v>
      </c>
      <c r="CF85" s="104">
        <v>-27593000</v>
      </c>
      <c r="CG85" s="105">
        <v>-0.442</v>
      </c>
      <c r="CH85" s="105">
        <v>0</v>
      </c>
      <c r="CI85" s="105">
        <v>-0.442</v>
      </c>
    </row>
    <row r="86" spans="1:87" s="222" customFormat="1" ht="22.8" x14ac:dyDescent="0.3">
      <c r="A86" s="14">
        <v>11794</v>
      </c>
      <c r="B86" s="14" t="s">
        <v>88</v>
      </c>
      <c r="C86" s="14" t="s">
        <v>83</v>
      </c>
      <c r="D86" s="14">
        <v>3106</v>
      </c>
      <c r="E86" s="14">
        <v>2025</v>
      </c>
      <c r="F86" s="14" t="s">
        <v>275</v>
      </c>
      <c r="G86" s="14">
        <v>2</v>
      </c>
      <c r="H86" s="14">
        <v>6</v>
      </c>
      <c r="I86" s="14" t="s">
        <v>709</v>
      </c>
      <c r="J86" s="96">
        <v>0</v>
      </c>
      <c r="K86" s="96">
        <v>0</v>
      </c>
      <c r="L86" s="96">
        <v>0</v>
      </c>
      <c r="M86" s="96">
        <v>0</v>
      </c>
      <c r="N86" s="96">
        <v>0</v>
      </c>
      <c r="O86" s="96">
        <v>0</v>
      </c>
      <c r="P86" s="96">
        <v>0</v>
      </c>
      <c r="Q86" s="104">
        <v>0</v>
      </c>
      <c r="R86" s="96">
        <v>0</v>
      </c>
      <c r="S86" s="96">
        <v>0</v>
      </c>
      <c r="T86" s="96">
        <v>0</v>
      </c>
      <c r="U86" s="96">
        <v>0</v>
      </c>
      <c r="V86" s="96">
        <v>0</v>
      </c>
      <c r="W86" s="96">
        <v>0</v>
      </c>
      <c r="X86" s="104">
        <v>0</v>
      </c>
      <c r="Y86" s="96">
        <v>0</v>
      </c>
      <c r="Z86" s="104">
        <v>0</v>
      </c>
      <c r="AA86" s="104">
        <v>0</v>
      </c>
      <c r="AB86" s="96">
        <v>0</v>
      </c>
      <c r="AC86" s="96">
        <v>0</v>
      </c>
      <c r="AD86" s="96">
        <v>0</v>
      </c>
      <c r="AE86" s="96">
        <v>0</v>
      </c>
      <c r="AF86" s="104">
        <v>0</v>
      </c>
      <c r="AG86" s="96">
        <v>0</v>
      </c>
      <c r="AH86" s="96">
        <v>0</v>
      </c>
      <c r="AI86" s="96">
        <v>0</v>
      </c>
      <c r="AJ86" s="104">
        <v>0</v>
      </c>
      <c r="AK86" s="104">
        <v>0</v>
      </c>
      <c r="AL86" s="96">
        <v>0</v>
      </c>
      <c r="AM86" s="96">
        <v>0</v>
      </c>
      <c r="AN86" s="96">
        <v>0</v>
      </c>
      <c r="AO86" s="104">
        <v>0</v>
      </c>
      <c r="AP86" s="104">
        <v>0</v>
      </c>
      <c r="AQ86" s="96">
        <v>26048625</v>
      </c>
      <c r="AR86" s="96">
        <v>890859</v>
      </c>
      <c r="AS86" s="96">
        <v>2567944</v>
      </c>
      <c r="AT86" s="96">
        <v>0</v>
      </c>
      <c r="AU86" s="96">
        <v>0</v>
      </c>
      <c r="AV86" s="96">
        <v>0</v>
      </c>
      <c r="AW86" s="104">
        <v>29507428</v>
      </c>
      <c r="AX86" s="96">
        <v>0</v>
      </c>
      <c r="AY86" s="96">
        <v>0</v>
      </c>
      <c r="AZ86" s="96">
        <v>0</v>
      </c>
      <c r="BA86" s="96">
        <v>0</v>
      </c>
      <c r="BB86" s="96">
        <v>0</v>
      </c>
      <c r="BC86" s="104">
        <v>0</v>
      </c>
      <c r="BD86" s="104">
        <v>29507428</v>
      </c>
      <c r="BE86" s="96">
        <v>34025224</v>
      </c>
      <c r="BF86" s="96">
        <v>0</v>
      </c>
      <c r="BG86" s="96">
        <v>0</v>
      </c>
      <c r="BH86" s="96">
        <v>0</v>
      </c>
      <c r="BI86" s="96">
        <v>0</v>
      </c>
      <c r="BJ86" s="96">
        <v>14444433</v>
      </c>
      <c r="BK86" s="96">
        <v>0</v>
      </c>
      <c r="BL86" s="104">
        <v>48469657</v>
      </c>
      <c r="BM86" s="104">
        <v>-18962229</v>
      </c>
      <c r="BN86" s="96">
        <v>18962229</v>
      </c>
      <c r="BO86" s="96">
        <v>0</v>
      </c>
      <c r="BP86" s="96">
        <v>0</v>
      </c>
      <c r="BQ86" s="96">
        <v>0</v>
      </c>
      <c r="BR86" s="96">
        <v>0</v>
      </c>
      <c r="BS86" s="104">
        <v>0</v>
      </c>
      <c r="BT86" s="105">
        <v>-0.64300000000000002</v>
      </c>
      <c r="BU86" s="105">
        <v>0</v>
      </c>
      <c r="BV86" s="105">
        <v>-0.64300000000000002</v>
      </c>
      <c r="BW86" s="106">
        <v>0</v>
      </c>
      <c r="BX86" s="107">
        <v>0</v>
      </c>
      <c r="BY86" s="107">
        <v>0</v>
      </c>
      <c r="BZ86" s="108">
        <v>0</v>
      </c>
      <c r="CA86" s="109">
        <v>0</v>
      </c>
      <c r="CB86" s="109">
        <v>0</v>
      </c>
      <c r="CC86" s="110">
        <v>0</v>
      </c>
      <c r="CD86" s="111">
        <v>0</v>
      </c>
      <c r="CE86" s="109">
        <v>0</v>
      </c>
      <c r="CF86" s="104">
        <v>12642000</v>
      </c>
      <c r="CG86" s="105">
        <v>-7.0000000000000001E-3</v>
      </c>
      <c r="CH86" s="105">
        <v>2.1999999999999999E-2</v>
      </c>
      <c r="CI86" s="105">
        <v>1.4999999999999999E-2</v>
      </c>
    </row>
    <row r="87" spans="1:87" s="222" customFormat="1" ht="22.8" x14ac:dyDescent="0.3">
      <c r="A87" s="14">
        <v>11801</v>
      </c>
      <c r="B87" s="14" t="s">
        <v>102</v>
      </c>
      <c r="C87" s="14" t="s">
        <v>83</v>
      </c>
      <c r="D87" s="14">
        <v>16665</v>
      </c>
      <c r="E87" s="14">
        <v>2025</v>
      </c>
      <c r="F87" s="14" t="s">
        <v>275</v>
      </c>
      <c r="G87" s="14">
        <v>2</v>
      </c>
      <c r="H87" s="14">
        <v>6</v>
      </c>
      <c r="I87" s="14" t="s">
        <v>709</v>
      </c>
      <c r="J87" s="96">
        <v>0</v>
      </c>
      <c r="K87" s="96">
        <v>0</v>
      </c>
      <c r="L87" s="96">
        <v>0</v>
      </c>
      <c r="M87" s="96">
        <v>0</v>
      </c>
      <c r="N87" s="96">
        <v>0</v>
      </c>
      <c r="O87" s="96">
        <v>0</v>
      </c>
      <c r="P87" s="96">
        <v>0</v>
      </c>
      <c r="Q87" s="104">
        <v>0</v>
      </c>
      <c r="R87" s="96">
        <v>0</v>
      </c>
      <c r="S87" s="96">
        <v>0</v>
      </c>
      <c r="T87" s="96">
        <v>0</v>
      </c>
      <c r="U87" s="96">
        <v>0</v>
      </c>
      <c r="V87" s="96">
        <v>0</v>
      </c>
      <c r="W87" s="96">
        <v>0</v>
      </c>
      <c r="X87" s="104">
        <v>0</v>
      </c>
      <c r="Y87" s="96">
        <v>0</v>
      </c>
      <c r="Z87" s="104">
        <v>0</v>
      </c>
      <c r="AA87" s="104">
        <v>0</v>
      </c>
      <c r="AB87" s="96">
        <v>0</v>
      </c>
      <c r="AC87" s="96">
        <v>0</v>
      </c>
      <c r="AD87" s="96">
        <v>0</v>
      </c>
      <c r="AE87" s="96">
        <v>0</v>
      </c>
      <c r="AF87" s="104">
        <v>0</v>
      </c>
      <c r="AG87" s="96">
        <v>0</v>
      </c>
      <c r="AH87" s="96">
        <v>0</v>
      </c>
      <c r="AI87" s="96">
        <v>0</v>
      </c>
      <c r="AJ87" s="104">
        <v>0</v>
      </c>
      <c r="AK87" s="104">
        <v>0</v>
      </c>
      <c r="AL87" s="96">
        <v>0</v>
      </c>
      <c r="AM87" s="96">
        <v>0</v>
      </c>
      <c r="AN87" s="96">
        <v>0</v>
      </c>
      <c r="AO87" s="104">
        <v>0</v>
      </c>
      <c r="AP87" s="104">
        <v>0</v>
      </c>
      <c r="AQ87" s="96">
        <v>56925000</v>
      </c>
      <c r="AR87" s="96">
        <v>0</v>
      </c>
      <c r="AS87" s="96">
        <v>5531000</v>
      </c>
      <c r="AT87" s="96">
        <v>0</v>
      </c>
      <c r="AU87" s="96">
        <v>0</v>
      </c>
      <c r="AV87" s="96">
        <v>0</v>
      </c>
      <c r="AW87" s="104">
        <v>62456000</v>
      </c>
      <c r="AX87" s="96">
        <v>0</v>
      </c>
      <c r="AY87" s="96">
        <v>0</v>
      </c>
      <c r="AZ87" s="96">
        <v>0</v>
      </c>
      <c r="BA87" s="96">
        <v>0</v>
      </c>
      <c r="BB87" s="96">
        <v>0</v>
      </c>
      <c r="BC87" s="104">
        <v>0</v>
      </c>
      <c r="BD87" s="104">
        <v>62456000</v>
      </c>
      <c r="BE87" s="96">
        <v>69336000</v>
      </c>
      <c r="BF87" s="96">
        <v>0</v>
      </c>
      <c r="BG87" s="96">
        <v>1525000</v>
      </c>
      <c r="BH87" s="96">
        <v>0</v>
      </c>
      <c r="BI87" s="96">
        <v>0</v>
      </c>
      <c r="BJ87" s="96">
        <v>19188000</v>
      </c>
      <c r="BK87" s="96">
        <v>0</v>
      </c>
      <c r="BL87" s="104">
        <v>90049000</v>
      </c>
      <c r="BM87" s="104">
        <v>-27593000</v>
      </c>
      <c r="BN87" s="96">
        <v>21827000</v>
      </c>
      <c r="BO87" s="96">
        <v>0</v>
      </c>
      <c r="BP87" s="96">
        <v>-5766000</v>
      </c>
      <c r="BQ87" s="96">
        <v>0</v>
      </c>
      <c r="BR87" s="96">
        <v>0</v>
      </c>
      <c r="BS87" s="104">
        <v>-5766000</v>
      </c>
      <c r="BT87" s="105">
        <v>-0.442</v>
      </c>
      <c r="BU87" s="105">
        <v>0</v>
      </c>
      <c r="BV87" s="105">
        <v>-0.442</v>
      </c>
      <c r="BW87" s="106">
        <v>0</v>
      </c>
      <c r="BX87" s="107">
        <v>0</v>
      </c>
      <c r="BY87" s="107">
        <v>0</v>
      </c>
      <c r="BZ87" s="108">
        <v>0</v>
      </c>
      <c r="CA87" s="109">
        <v>0</v>
      </c>
      <c r="CB87" s="109">
        <v>0</v>
      </c>
      <c r="CC87" s="110">
        <v>0</v>
      </c>
      <c r="CD87" s="111">
        <v>0</v>
      </c>
      <c r="CE87" s="109">
        <v>0</v>
      </c>
      <c r="CF87" s="104">
        <v>-1997000</v>
      </c>
      <c r="CG87" s="105">
        <v>-6.4000000000000001E-2</v>
      </c>
      <c r="CH87" s="105">
        <v>0</v>
      </c>
      <c r="CI87" s="105">
        <v>-6.4000000000000001E-2</v>
      </c>
    </row>
    <row r="88" spans="1:87" s="222" customFormat="1" ht="22.8" x14ac:dyDescent="0.3">
      <c r="A88" s="14">
        <v>11810</v>
      </c>
      <c r="B88" s="14" t="s">
        <v>126</v>
      </c>
      <c r="C88" s="14" t="s">
        <v>83</v>
      </c>
      <c r="D88" s="14">
        <v>3109</v>
      </c>
      <c r="E88" s="14">
        <v>2025</v>
      </c>
      <c r="F88" s="14" t="s">
        <v>275</v>
      </c>
      <c r="G88" s="14">
        <v>2</v>
      </c>
      <c r="H88" s="14">
        <v>6</v>
      </c>
      <c r="I88" s="14" t="s">
        <v>709</v>
      </c>
      <c r="J88" s="96">
        <v>0</v>
      </c>
      <c r="K88" s="96">
        <v>0</v>
      </c>
      <c r="L88" s="96">
        <v>0</v>
      </c>
      <c r="M88" s="96">
        <v>0</v>
      </c>
      <c r="N88" s="96">
        <v>0</v>
      </c>
      <c r="O88" s="96">
        <v>0</v>
      </c>
      <c r="P88" s="96">
        <v>0</v>
      </c>
      <c r="Q88" s="104">
        <v>0</v>
      </c>
      <c r="R88" s="96">
        <v>0</v>
      </c>
      <c r="S88" s="96">
        <v>0</v>
      </c>
      <c r="T88" s="96">
        <v>0</v>
      </c>
      <c r="U88" s="96">
        <v>0</v>
      </c>
      <c r="V88" s="96">
        <v>0</v>
      </c>
      <c r="W88" s="96">
        <v>0</v>
      </c>
      <c r="X88" s="104">
        <v>0</v>
      </c>
      <c r="Y88" s="96">
        <v>0</v>
      </c>
      <c r="Z88" s="104">
        <v>0</v>
      </c>
      <c r="AA88" s="104">
        <v>0</v>
      </c>
      <c r="AB88" s="96">
        <v>0</v>
      </c>
      <c r="AC88" s="96">
        <v>0</v>
      </c>
      <c r="AD88" s="96">
        <v>0</v>
      </c>
      <c r="AE88" s="96">
        <v>0</v>
      </c>
      <c r="AF88" s="104">
        <v>0</v>
      </c>
      <c r="AG88" s="96">
        <v>0</v>
      </c>
      <c r="AH88" s="96">
        <v>0</v>
      </c>
      <c r="AI88" s="96">
        <v>0</v>
      </c>
      <c r="AJ88" s="104">
        <v>0</v>
      </c>
      <c r="AK88" s="104">
        <v>0</v>
      </c>
      <c r="AL88" s="96">
        <v>0</v>
      </c>
      <c r="AM88" s="96">
        <v>0</v>
      </c>
      <c r="AN88" s="96">
        <v>0</v>
      </c>
      <c r="AO88" s="104">
        <v>0</v>
      </c>
      <c r="AP88" s="104">
        <v>0</v>
      </c>
      <c r="AQ88" s="96">
        <v>54252780</v>
      </c>
      <c r="AR88" s="96">
        <v>0</v>
      </c>
      <c r="AS88" s="96">
        <v>685657</v>
      </c>
      <c r="AT88" s="96">
        <v>0</v>
      </c>
      <c r="AU88" s="96">
        <v>0</v>
      </c>
      <c r="AV88" s="96">
        <v>0</v>
      </c>
      <c r="AW88" s="104">
        <v>54938437</v>
      </c>
      <c r="AX88" s="96">
        <v>0</v>
      </c>
      <c r="AY88" s="96">
        <v>0</v>
      </c>
      <c r="AZ88" s="96"/>
      <c r="BA88" s="96">
        <v>0</v>
      </c>
      <c r="BB88" s="96">
        <v>0</v>
      </c>
      <c r="BC88" s="104">
        <v>0</v>
      </c>
      <c r="BD88" s="104">
        <v>54938437</v>
      </c>
      <c r="BE88" s="96">
        <v>59728153</v>
      </c>
      <c r="BF88" s="96">
        <v>0</v>
      </c>
      <c r="BG88" s="96">
        <v>252265</v>
      </c>
      <c r="BH88" s="96">
        <v>0</v>
      </c>
      <c r="BI88" s="96">
        <v>0</v>
      </c>
      <c r="BJ88" s="96">
        <v>17178605</v>
      </c>
      <c r="BK88" s="96">
        <v>0</v>
      </c>
      <c r="BL88" s="104">
        <v>77159023</v>
      </c>
      <c r="BM88" s="104">
        <v>-22220586</v>
      </c>
      <c r="BN88" s="96">
        <v>22334963</v>
      </c>
      <c r="BO88" s="96">
        <v>0</v>
      </c>
      <c r="BP88" s="96">
        <v>114377</v>
      </c>
      <c r="BQ88" s="96">
        <v>0</v>
      </c>
      <c r="BR88" s="96">
        <v>0</v>
      </c>
      <c r="BS88" s="104">
        <v>114377</v>
      </c>
      <c r="BT88" s="109">
        <v>-0.40400000000000003</v>
      </c>
      <c r="BU88" s="109">
        <v>0</v>
      </c>
      <c r="BV88" s="109">
        <v>-0.40400000000000003</v>
      </c>
      <c r="BW88" s="106">
        <v>0</v>
      </c>
      <c r="BX88" s="107">
        <v>0</v>
      </c>
      <c r="BY88" s="107">
        <v>0</v>
      </c>
      <c r="BZ88" s="108">
        <v>0</v>
      </c>
      <c r="CA88" s="109">
        <v>0</v>
      </c>
      <c r="CB88" s="109">
        <v>0</v>
      </c>
      <c r="CC88" s="110">
        <v>0</v>
      </c>
      <c r="CD88" s="110"/>
      <c r="CE88" s="110"/>
      <c r="CF88" s="104">
        <v>-11774000</v>
      </c>
      <c r="CG88" s="105">
        <v>-0.57999999999999996</v>
      </c>
      <c r="CH88" s="105">
        <v>0</v>
      </c>
      <c r="CI88" s="105">
        <v>-0.57999999999999996</v>
      </c>
    </row>
    <row r="89" spans="1:87" s="222" customFormat="1" ht="22.8" x14ac:dyDescent="0.3">
      <c r="A89" s="14">
        <v>11915</v>
      </c>
      <c r="B89" s="14" t="s">
        <v>111</v>
      </c>
      <c r="C89" s="14" t="s">
        <v>83</v>
      </c>
      <c r="D89" s="14">
        <v>16665</v>
      </c>
      <c r="E89" s="14">
        <v>2025</v>
      </c>
      <c r="F89" s="14" t="s">
        <v>275</v>
      </c>
      <c r="G89" s="14">
        <v>2</v>
      </c>
      <c r="H89" s="14">
        <v>6</v>
      </c>
      <c r="I89" s="14" t="s">
        <v>709</v>
      </c>
      <c r="J89" s="96">
        <v>0</v>
      </c>
      <c r="K89" s="96">
        <v>0</v>
      </c>
      <c r="L89" s="96">
        <v>0</v>
      </c>
      <c r="M89" s="96">
        <v>0</v>
      </c>
      <c r="N89" s="96">
        <v>0</v>
      </c>
      <c r="O89" s="96">
        <v>0</v>
      </c>
      <c r="P89" s="96">
        <v>0</v>
      </c>
      <c r="Q89" s="104">
        <v>0</v>
      </c>
      <c r="R89" s="96">
        <v>0</v>
      </c>
      <c r="S89" s="96">
        <v>0</v>
      </c>
      <c r="T89" s="96">
        <v>0</v>
      </c>
      <c r="U89" s="96">
        <v>0</v>
      </c>
      <c r="V89" s="96">
        <v>0</v>
      </c>
      <c r="W89" s="96">
        <v>0</v>
      </c>
      <c r="X89" s="104">
        <v>0</v>
      </c>
      <c r="Y89" s="96">
        <v>0</v>
      </c>
      <c r="Z89" s="104">
        <v>0</v>
      </c>
      <c r="AA89" s="104">
        <v>0</v>
      </c>
      <c r="AB89" s="96">
        <v>0</v>
      </c>
      <c r="AC89" s="96">
        <v>0</v>
      </c>
      <c r="AD89" s="96">
        <v>0</v>
      </c>
      <c r="AE89" s="96">
        <v>0</v>
      </c>
      <c r="AF89" s="104">
        <v>0</v>
      </c>
      <c r="AG89" s="96">
        <v>0</v>
      </c>
      <c r="AH89" s="96">
        <v>0</v>
      </c>
      <c r="AI89" s="96">
        <v>0</v>
      </c>
      <c r="AJ89" s="104">
        <v>0</v>
      </c>
      <c r="AK89" s="104">
        <v>0</v>
      </c>
      <c r="AL89" s="96">
        <v>0</v>
      </c>
      <c r="AM89" s="96">
        <v>0</v>
      </c>
      <c r="AN89" s="96">
        <v>0</v>
      </c>
      <c r="AO89" s="104">
        <v>0</v>
      </c>
      <c r="AP89" s="104">
        <v>0</v>
      </c>
      <c r="AQ89" s="96">
        <v>5650000</v>
      </c>
      <c r="AR89" s="96">
        <v>0</v>
      </c>
      <c r="AS89" s="96">
        <v>126000</v>
      </c>
      <c r="AT89" s="96">
        <v>0</v>
      </c>
      <c r="AU89" s="96">
        <v>0</v>
      </c>
      <c r="AV89" s="96">
        <v>0</v>
      </c>
      <c r="AW89" s="104">
        <v>5776000</v>
      </c>
      <c r="AX89" s="96">
        <v>0</v>
      </c>
      <c r="AY89" s="96">
        <v>0</v>
      </c>
      <c r="AZ89" s="96">
        <v>0</v>
      </c>
      <c r="BA89" s="96">
        <v>0</v>
      </c>
      <c r="BB89" s="96">
        <v>0</v>
      </c>
      <c r="BC89" s="104">
        <v>0</v>
      </c>
      <c r="BD89" s="104">
        <v>5776000</v>
      </c>
      <c r="BE89" s="96">
        <v>7604000</v>
      </c>
      <c r="BF89" s="96">
        <v>0</v>
      </c>
      <c r="BG89" s="96">
        <v>105000</v>
      </c>
      <c r="BH89" s="96">
        <v>0</v>
      </c>
      <c r="BI89" s="96">
        <v>0</v>
      </c>
      <c r="BJ89" s="96">
        <v>2196000</v>
      </c>
      <c r="BK89" s="96">
        <v>0</v>
      </c>
      <c r="BL89" s="104">
        <v>9905000</v>
      </c>
      <c r="BM89" s="104">
        <v>-4129000</v>
      </c>
      <c r="BN89" s="96">
        <v>0</v>
      </c>
      <c r="BO89" s="96">
        <v>0</v>
      </c>
      <c r="BP89" s="96">
        <v>-4129000</v>
      </c>
      <c r="BQ89" s="96">
        <v>0</v>
      </c>
      <c r="BR89" s="96">
        <v>0</v>
      </c>
      <c r="BS89" s="104">
        <v>-4129000</v>
      </c>
      <c r="BT89" s="105">
        <v>-0.71499999999999997</v>
      </c>
      <c r="BU89" s="105">
        <v>0</v>
      </c>
      <c r="BV89" s="105">
        <v>-0.71499999999999997</v>
      </c>
      <c r="BW89" s="106">
        <v>0</v>
      </c>
      <c r="BX89" s="107">
        <v>0</v>
      </c>
      <c r="BY89" s="107">
        <v>0</v>
      </c>
      <c r="BZ89" s="108">
        <v>0</v>
      </c>
      <c r="CA89" s="109">
        <v>0</v>
      </c>
      <c r="CB89" s="109">
        <v>0</v>
      </c>
      <c r="CC89" s="110">
        <v>0</v>
      </c>
      <c r="CD89" s="111">
        <v>0</v>
      </c>
      <c r="CE89" s="109">
        <v>0</v>
      </c>
      <c r="CF89" s="104">
        <v>18857000</v>
      </c>
      <c r="CG89" s="105">
        <v>8.0000000000000002E-3</v>
      </c>
      <c r="CH89" s="105">
        <v>0.02</v>
      </c>
      <c r="CI89" s="105">
        <v>2.8000000000000001E-2</v>
      </c>
    </row>
    <row r="90" spans="1:87" s="222" customFormat="1" ht="22.8" x14ac:dyDescent="0.3">
      <c r="A90" s="57">
        <v>12022</v>
      </c>
      <c r="B90" s="57" t="s">
        <v>112</v>
      </c>
      <c r="C90" s="57" t="s">
        <v>83</v>
      </c>
      <c r="D90" s="57">
        <v>16665</v>
      </c>
      <c r="E90" s="57">
        <v>2025</v>
      </c>
      <c r="F90" s="57" t="s">
        <v>275</v>
      </c>
      <c r="G90" s="57">
        <v>2</v>
      </c>
      <c r="H90" s="57">
        <v>6</v>
      </c>
      <c r="I90" s="57" t="s">
        <v>709</v>
      </c>
      <c r="J90" s="100">
        <v>0</v>
      </c>
      <c r="K90" s="100">
        <v>0</v>
      </c>
      <c r="L90" s="100">
        <v>0</v>
      </c>
      <c r="M90" s="100">
        <v>0</v>
      </c>
      <c r="N90" s="100">
        <v>0</v>
      </c>
      <c r="O90" s="100">
        <v>0</v>
      </c>
      <c r="P90" s="100">
        <v>0</v>
      </c>
      <c r="Q90" s="104">
        <v>0</v>
      </c>
      <c r="R90" s="100">
        <v>0</v>
      </c>
      <c r="S90" s="100">
        <v>0</v>
      </c>
      <c r="T90" s="100">
        <v>0</v>
      </c>
      <c r="U90" s="100">
        <v>0</v>
      </c>
      <c r="V90" s="100">
        <v>0</v>
      </c>
      <c r="W90" s="100">
        <v>0</v>
      </c>
      <c r="X90" s="104">
        <v>0</v>
      </c>
      <c r="Y90" s="100">
        <v>0</v>
      </c>
      <c r="Z90" s="104">
        <v>0</v>
      </c>
      <c r="AA90" s="104">
        <v>0</v>
      </c>
      <c r="AB90" s="100">
        <v>0</v>
      </c>
      <c r="AC90" s="100">
        <v>0</v>
      </c>
      <c r="AD90" s="100">
        <v>0</v>
      </c>
      <c r="AE90" s="100">
        <v>0</v>
      </c>
      <c r="AF90" s="104">
        <v>0</v>
      </c>
      <c r="AG90" s="100">
        <v>0</v>
      </c>
      <c r="AH90" s="100">
        <v>0</v>
      </c>
      <c r="AI90" s="100">
        <v>0</v>
      </c>
      <c r="AJ90" s="104">
        <v>0</v>
      </c>
      <c r="AK90" s="104">
        <v>0</v>
      </c>
      <c r="AL90" s="100">
        <v>0</v>
      </c>
      <c r="AM90" s="100">
        <v>0</v>
      </c>
      <c r="AN90" s="100">
        <v>0</v>
      </c>
      <c r="AO90" s="104">
        <v>0</v>
      </c>
      <c r="AP90" s="104">
        <v>0</v>
      </c>
      <c r="AQ90" s="100">
        <v>17906000</v>
      </c>
      <c r="AR90" s="100">
        <v>0</v>
      </c>
      <c r="AS90" s="100">
        <v>605000</v>
      </c>
      <c r="AT90" s="100">
        <v>0</v>
      </c>
      <c r="AU90" s="100">
        <v>0</v>
      </c>
      <c r="AV90" s="100">
        <v>0</v>
      </c>
      <c r="AW90" s="104">
        <v>18511000</v>
      </c>
      <c r="AX90" s="100">
        <v>0</v>
      </c>
      <c r="AY90" s="100">
        <v>0</v>
      </c>
      <c r="AZ90" s="100">
        <v>0</v>
      </c>
      <c r="BA90" s="100">
        <v>0</v>
      </c>
      <c r="BB90" s="100">
        <v>0</v>
      </c>
      <c r="BC90" s="104">
        <v>0</v>
      </c>
      <c r="BD90" s="104">
        <v>18511000</v>
      </c>
      <c r="BE90" s="100">
        <v>14436000</v>
      </c>
      <c r="BF90" s="100">
        <v>0</v>
      </c>
      <c r="BG90" s="100">
        <v>110000</v>
      </c>
      <c r="BH90" s="100">
        <v>0</v>
      </c>
      <c r="BI90" s="100">
        <v>0</v>
      </c>
      <c r="BJ90" s="100">
        <v>5878000</v>
      </c>
      <c r="BK90" s="100">
        <v>0</v>
      </c>
      <c r="BL90" s="104">
        <v>20424000</v>
      </c>
      <c r="BM90" s="104">
        <v>-1913000</v>
      </c>
      <c r="BN90" s="100">
        <v>0</v>
      </c>
      <c r="BO90" s="100">
        <v>0</v>
      </c>
      <c r="BP90" s="100">
        <v>-1913000</v>
      </c>
      <c r="BQ90" s="100">
        <v>0</v>
      </c>
      <c r="BR90" s="100">
        <v>0</v>
      </c>
      <c r="BS90" s="104">
        <v>-1913000</v>
      </c>
      <c r="BT90" s="105">
        <v>-0.10299999999999999</v>
      </c>
      <c r="BU90" s="105">
        <v>0</v>
      </c>
      <c r="BV90" s="105">
        <v>-0.10299999999999999</v>
      </c>
      <c r="BW90" s="106">
        <v>0</v>
      </c>
      <c r="BX90" s="107">
        <v>0</v>
      </c>
      <c r="BY90" s="107">
        <v>0</v>
      </c>
      <c r="BZ90" s="108">
        <v>0</v>
      </c>
      <c r="CA90" s="109">
        <v>0</v>
      </c>
      <c r="CB90" s="109">
        <v>0</v>
      </c>
      <c r="CC90" s="110">
        <v>0</v>
      </c>
      <c r="CD90" s="111">
        <v>0</v>
      </c>
      <c r="CE90" s="109">
        <v>0</v>
      </c>
      <c r="CF90" s="104">
        <v>-5175000</v>
      </c>
      <c r="CG90" s="105">
        <v>-1.252</v>
      </c>
      <c r="CH90" s="105">
        <v>0</v>
      </c>
      <c r="CI90" s="105">
        <v>-1.252</v>
      </c>
    </row>
    <row r="91" spans="1:87" s="222" customFormat="1" ht="22.8" x14ac:dyDescent="0.3">
      <c r="A91" s="14">
        <v>12037</v>
      </c>
      <c r="B91" s="14" t="s">
        <v>105</v>
      </c>
      <c r="C91" s="14" t="s">
        <v>83</v>
      </c>
      <c r="D91" s="14">
        <v>16665</v>
      </c>
      <c r="E91" s="14">
        <v>2025</v>
      </c>
      <c r="F91" s="14" t="s">
        <v>275</v>
      </c>
      <c r="G91" s="14">
        <v>2</v>
      </c>
      <c r="H91" s="14">
        <v>6</v>
      </c>
      <c r="I91" s="14" t="s">
        <v>709</v>
      </c>
      <c r="J91" s="96">
        <v>0</v>
      </c>
      <c r="K91" s="96">
        <v>0</v>
      </c>
      <c r="L91" s="96">
        <v>0</v>
      </c>
      <c r="M91" s="96">
        <v>0</v>
      </c>
      <c r="N91" s="96">
        <v>0</v>
      </c>
      <c r="O91" s="96">
        <v>0</v>
      </c>
      <c r="P91" s="96">
        <v>0</v>
      </c>
      <c r="Q91" s="104">
        <v>0</v>
      </c>
      <c r="R91" s="96">
        <v>0</v>
      </c>
      <c r="S91" s="96">
        <v>0</v>
      </c>
      <c r="T91" s="96">
        <v>0</v>
      </c>
      <c r="U91" s="96">
        <v>0</v>
      </c>
      <c r="V91" s="96">
        <v>0</v>
      </c>
      <c r="W91" s="96">
        <v>0</v>
      </c>
      <c r="X91" s="104">
        <v>0</v>
      </c>
      <c r="Y91" s="96">
        <v>0</v>
      </c>
      <c r="Z91" s="104">
        <v>0</v>
      </c>
      <c r="AA91" s="104">
        <v>0</v>
      </c>
      <c r="AB91" s="96">
        <v>0</v>
      </c>
      <c r="AC91" s="96">
        <v>0</v>
      </c>
      <c r="AD91" s="96">
        <v>0</v>
      </c>
      <c r="AE91" s="96">
        <v>0</v>
      </c>
      <c r="AF91" s="104">
        <v>0</v>
      </c>
      <c r="AG91" s="96">
        <v>0</v>
      </c>
      <c r="AH91" s="96">
        <v>0</v>
      </c>
      <c r="AI91" s="96">
        <v>0</v>
      </c>
      <c r="AJ91" s="104">
        <v>0</v>
      </c>
      <c r="AK91" s="104">
        <v>0</v>
      </c>
      <c r="AL91" s="96">
        <v>0</v>
      </c>
      <c r="AM91" s="96">
        <v>0</v>
      </c>
      <c r="AN91" s="96">
        <v>0</v>
      </c>
      <c r="AO91" s="104">
        <v>0</v>
      </c>
      <c r="AP91" s="104">
        <v>0</v>
      </c>
      <c r="AQ91" s="96">
        <v>17523000</v>
      </c>
      <c r="AR91" s="96">
        <v>0</v>
      </c>
      <c r="AS91" s="96">
        <v>2785000</v>
      </c>
      <c r="AT91" s="96">
        <v>0</v>
      </c>
      <c r="AU91" s="96">
        <v>0</v>
      </c>
      <c r="AV91" s="96">
        <v>0</v>
      </c>
      <c r="AW91" s="104">
        <v>20308000</v>
      </c>
      <c r="AX91" s="96">
        <v>0</v>
      </c>
      <c r="AY91" s="96">
        <v>0</v>
      </c>
      <c r="AZ91" s="96">
        <v>0</v>
      </c>
      <c r="BA91" s="96">
        <v>0</v>
      </c>
      <c r="BB91" s="96">
        <v>0</v>
      </c>
      <c r="BC91" s="104">
        <v>0</v>
      </c>
      <c r="BD91" s="104">
        <v>20308000</v>
      </c>
      <c r="BE91" s="96">
        <v>26263000</v>
      </c>
      <c r="BF91" s="96">
        <v>0</v>
      </c>
      <c r="BG91" s="96">
        <v>388000</v>
      </c>
      <c r="BH91" s="96">
        <v>0</v>
      </c>
      <c r="BI91" s="96">
        <v>0</v>
      </c>
      <c r="BJ91" s="96">
        <v>5431000</v>
      </c>
      <c r="BK91" s="96">
        <v>0</v>
      </c>
      <c r="BL91" s="104">
        <v>32082000</v>
      </c>
      <c r="BM91" s="104">
        <v>-11774000</v>
      </c>
      <c r="BN91" s="96">
        <v>0</v>
      </c>
      <c r="BO91" s="96">
        <v>0</v>
      </c>
      <c r="BP91" s="96">
        <v>-11774000</v>
      </c>
      <c r="BQ91" s="96">
        <v>0</v>
      </c>
      <c r="BR91" s="96">
        <v>0</v>
      </c>
      <c r="BS91" s="104">
        <v>-11774000</v>
      </c>
      <c r="BT91" s="105">
        <v>-0.57999999999999996</v>
      </c>
      <c r="BU91" s="105">
        <v>0</v>
      </c>
      <c r="BV91" s="105">
        <v>-0.57999999999999996</v>
      </c>
      <c r="BW91" s="106">
        <v>0</v>
      </c>
      <c r="BX91" s="107">
        <v>0</v>
      </c>
      <c r="BY91" s="107">
        <v>0</v>
      </c>
      <c r="BZ91" s="108">
        <v>0</v>
      </c>
      <c r="CA91" s="109">
        <v>0</v>
      </c>
      <c r="CB91" s="109">
        <v>0</v>
      </c>
      <c r="CC91" s="110">
        <v>0</v>
      </c>
      <c r="CD91" s="111">
        <v>0</v>
      </c>
      <c r="CE91" s="109">
        <v>0</v>
      </c>
      <c r="CF91" s="104">
        <v>-12014000</v>
      </c>
      <c r="CG91" s="105">
        <v>-0.1</v>
      </c>
      <c r="CH91" s="105">
        <v>-1E-3</v>
      </c>
      <c r="CI91" s="105">
        <v>-0.1</v>
      </c>
    </row>
    <row r="92" spans="1:87" s="222" customFormat="1" ht="22.8" x14ac:dyDescent="0.3">
      <c r="A92" s="14">
        <v>12118</v>
      </c>
      <c r="B92" s="14" t="s">
        <v>89</v>
      </c>
      <c r="C92" s="14" t="s">
        <v>83</v>
      </c>
      <c r="D92" s="14">
        <v>3106</v>
      </c>
      <c r="E92" s="14">
        <v>2025</v>
      </c>
      <c r="F92" s="14" t="s">
        <v>275</v>
      </c>
      <c r="G92" s="14">
        <v>2</v>
      </c>
      <c r="H92" s="14">
        <v>6</v>
      </c>
      <c r="I92" s="14" t="s">
        <v>709</v>
      </c>
      <c r="J92" s="96">
        <v>0</v>
      </c>
      <c r="K92" s="96">
        <v>0</v>
      </c>
      <c r="L92" s="96">
        <v>0</v>
      </c>
      <c r="M92" s="96">
        <v>0</v>
      </c>
      <c r="N92" s="96">
        <v>0</v>
      </c>
      <c r="O92" s="96">
        <v>0</v>
      </c>
      <c r="P92" s="96">
        <v>0</v>
      </c>
      <c r="Q92" s="104">
        <v>0</v>
      </c>
      <c r="R92" s="96">
        <v>0</v>
      </c>
      <c r="S92" s="96">
        <v>0</v>
      </c>
      <c r="T92" s="96">
        <v>0</v>
      </c>
      <c r="U92" s="96">
        <v>0</v>
      </c>
      <c r="V92" s="96">
        <v>0</v>
      </c>
      <c r="W92" s="96">
        <v>0</v>
      </c>
      <c r="X92" s="104">
        <v>0</v>
      </c>
      <c r="Y92" s="96">
        <v>0</v>
      </c>
      <c r="Z92" s="104">
        <v>0</v>
      </c>
      <c r="AA92" s="104">
        <v>0</v>
      </c>
      <c r="AB92" s="96">
        <v>0</v>
      </c>
      <c r="AC92" s="96">
        <v>0</v>
      </c>
      <c r="AD92" s="96">
        <v>0</v>
      </c>
      <c r="AE92" s="96">
        <v>0</v>
      </c>
      <c r="AF92" s="104">
        <v>0</v>
      </c>
      <c r="AG92" s="96">
        <v>0</v>
      </c>
      <c r="AH92" s="96">
        <v>0</v>
      </c>
      <c r="AI92" s="96">
        <v>0</v>
      </c>
      <c r="AJ92" s="104">
        <v>0</v>
      </c>
      <c r="AK92" s="104">
        <v>0</v>
      </c>
      <c r="AL92" s="96">
        <v>0</v>
      </c>
      <c r="AM92" s="96">
        <v>0</v>
      </c>
      <c r="AN92" s="96">
        <v>0</v>
      </c>
      <c r="AO92" s="104">
        <v>0</v>
      </c>
      <c r="AP92" s="104">
        <v>0</v>
      </c>
      <c r="AQ92" s="96">
        <v>5006468</v>
      </c>
      <c r="AR92" s="96">
        <v>0</v>
      </c>
      <c r="AS92" s="96">
        <v>46925</v>
      </c>
      <c r="AT92" s="96">
        <v>0</v>
      </c>
      <c r="AU92" s="96">
        <v>0</v>
      </c>
      <c r="AV92" s="96">
        <v>0</v>
      </c>
      <c r="AW92" s="104">
        <v>5053393</v>
      </c>
      <c r="AX92" s="96">
        <v>0</v>
      </c>
      <c r="AY92" s="96">
        <v>0</v>
      </c>
      <c r="AZ92" s="96">
        <v>0</v>
      </c>
      <c r="BA92" s="96">
        <v>0</v>
      </c>
      <c r="BB92" s="96">
        <v>0</v>
      </c>
      <c r="BC92" s="104">
        <v>0</v>
      </c>
      <c r="BD92" s="104">
        <v>5053393</v>
      </c>
      <c r="BE92" s="96">
        <v>6197483</v>
      </c>
      <c r="BF92" s="96">
        <v>0</v>
      </c>
      <c r="BG92" s="96">
        <v>0</v>
      </c>
      <c r="BH92" s="96">
        <v>0</v>
      </c>
      <c r="BI92" s="96">
        <v>0</v>
      </c>
      <c r="BJ92" s="96">
        <v>1456450</v>
      </c>
      <c r="BK92" s="96">
        <v>0</v>
      </c>
      <c r="BL92" s="104">
        <v>7653933</v>
      </c>
      <c r="BM92" s="104">
        <v>-2600540</v>
      </c>
      <c r="BN92" s="96">
        <v>974504</v>
      </c>
      <c r="BO92" s="96">
        <v>0</v>
      </c>
      <c r="BP92" s="96">
        <v>-1626036</v>
      </c>
      <c r="BQ92" s="96">
        <v>0</v>
      </c>
      <c r="BR92" s="96">
        <v>0</v>
      </c>
      <c r="BS92" s="104">
        <v>-1626036</v>
      </c>
      <c r="BT92" s="105">
        <v>-0.51500000000000001</v>
      </c>
      <c r="BU92" s="105">
        <v>0</v>
      </c>
      <c r="BV92" s="105">
        <v>-0.51500000000000001</v>
      </c>
      <c r="BW92" s="106">
        <v>0</v>
      </c>
      <c r="BX92" s="107">
        <v>0</v>
      </c>
      <c r="BY92" s="107">
        <v>0</v>
      </c>
      <c r="BZ92" s="108">
        <v>0</v>
      </c>
      <c r="CA92" s="109">
        <v>0</v>
      </c>
      <c r="CB92" s="109">
        <v>0</v>
      </c>
      <c r="CC92" s="110">
        <v>0</v>
      </c>
      <c r="CD92" s="111">
        <v>0</v>
      </c>
      <c r="CE92" s="109">
        <v>0</v>
      </c>
      <c r="CF92" s="104">
        <v>-12736000</v>
      </c>
      <c r="CG92" s="105">
        <v>-0.27800000000000002</v>
      </c>
      <c r="CH92" s="105">
        <v>1.9E-2</v>
      </c>
      <c r="CI92" s="105">
        <v>-0.25900000000000001</v>
      </c>
    </row>
    <row r="93" spans="1:87" s="222" customFormat="1" ht="22.8" x14ac:dyDescent="0.3">
      <c r="A93" s="14">
        <v>12151</v>
      </c>
      <c r="B93" s="14" t="s">
        <v>185</v>
      </c>
      <c r="C93" s="14" t="s">
        <v>83</v>
      </c>
      <c r="D93" s="14">
        <v>14288</v>
      </c>
      <c r="E93" s="14">
        <v>2025</v>
      </c>
      <c r="F93" s="14" t="s">
        <v>276</v>
      </c>
      <c r="G93" s="14">
        <v>3</v>
      </c>
      <c r="H93" s="14">
        <v>9</v>
      </c>
      <c r="I93" s="14" t="s">
        <v>711</v>
      </c>
      <c r="J93" s="96">
        <v>0</v>
      </c>
      <c r="K93" s="96">
        <v>0</v>
      </c>
      <c r="L93" s="96">
        <v>0</v>
      </c>
      <c r="M93" s="96">
        <v>0</v>
      </c>
      <c r="N93" s="96">
        <v>0</v>
      </c>
      <c r="O93" s="96">
        <v>0</v>
      </c>
      <c r="P93" s="96">
        <v>0</v>
      </c>
      <c r="Q93" s="104">
        <v>0</v>
      </c>
      <c r="R93" s="96">
        <v>0</v>
      </c>
      <c r="S93" s="96">
        <v>0</v>
      </c>
      <c r="T93" s="96">
        <v>0</v>
      </c>
      <c r="U93" s="96">
        <v>0</v>
      </c>
      <c r="V93" s="96">
        <v>0</v>
      </c>
      <c r="W93" s="96">
        <v>0</v>
      </c>
      <c r="X93" s="104">
        <v>0</v>
      </c>
      <c r="Y93" s="96">
        <v>0</v>
      </c>
      <c r="Z93" s="104">
        <v>0</v>
      </c>
      <c r="AA93" s="104">
        <v>0</v>
      </c>
      <c r="AB93" s="96">
        <v>0</v>
      </c>
      <c r="AC93" s="96">
        <v>0</v>
      </c>
      <c r="AD93" s="96">
        <v>0</v>
      </c>
      <c r="AE93" s="96">
        <v>0</v>
      </c>
      <c r="AF93" s="104">
        <v>0</v>
      </c>
      <c r="AG93" s="96">
        <v>0</v>
      </c>
      <c r="AH93" s="96">
        <v>0</v>
      </c>
      <c r="AI93" s="96">
        <v>0</v>
      </c>
      <c r="AJ93" s="104">
        <v>0</v>
      </c>
      <c r="AK93" s="104">
        <v>0</v>
      </c>
      <c r="AL93" s="96">
        <v>0</v>
      </c>
      <c r="AM93" s="96">
        <v>0</v>
      </c>
      <c r="AN93" s="96">
        <v>0</v>
      </c>
      <c r="AO93" s="104">
        <v>0</v>
      </c>
      <c r="AP93" s="104">
        <v>0</v>
      </c>
      <c r="AQ93" s="96">
        <v>8025952</v>
      </c>
      <c r="AR93" s="96">
        <v>5537</v>
      </c>
      <c r="AS93" s="96">
        <v>8077559</v>
      </c>
      <c r="AT93" s="96">
        <v>0</v>
      </c>
      <c r="AU93" s="96">
        <v>0</v>
      </c>
      <c r="AV93" s="96">
        <v>0</v>
      </c>
      <c r="AW93" s="104">
        <v>16109048</v>
      </c>
      <c r="AX93" s="96">
        <v>0</v>
      </c>
      <c r="AY93" s="96">
        <v>0</v>
      </c>
      <c r="AZ93" s="96"/>
      <c r="BA93" s="96">
        <v>0</v>
      </c>
      <c r="BB93" s="96">
        <v>0</v>
      </c>
      <c r="BC93" s="104">
        <v>0</v>
      </c>
      <c r="BD93" s="104">
        <v>16109048</v>
      </c>
      <c r="BE93" s="96">
        <v>16259159</v>
      </c>
      <c r="BF93" s="96">
        <v>1732583</v>
      </c>
      <c r="BG93" s="96">
        <v>74985</v>
      </c>
      <c r="BH93" s="96">
        <v>139</v>
      </c>
      <c r="BI93" s="96">
        <v>0</v>
      </c>
      <c r="BJ93" s="96">
        <v>1579709</v>
      </c>
      <c r="BK93" s="96">
        <v>0</v>
      </c>
      <c r="BL93" s="104">
        <v>19646575</v>
      </c>
      <c r="BM93" s="104">
        <v>-3537527</v>
      </c>
      <c r="BN93" s="96">
        <v>0</v>
      </c>
      <c r="BO93" s="96">
        <v>0</v>
      </c>
      <c r="BP93" s="96">
        <v>-3537527</v>
      </c>
      <c r="BQ93" s="96">
        <v>0</v>
      </c>
      <c r="BR93" s="96">
        <v>0</v>
      </c>
      <c r="BS93" s="104">
        <v>-3537527</v>
      </c>
      <c r="BT93" s="109">
        <v>-0.22</v>
      </c>
      <c r="BU93" s="109">
        <v>0</v>
      </c>
      <c r="BV93" s="109">
        <v>-0.22</v>
      </c>
      <c r="BW93" s="106">
        <v>0</v>
      </c>
      <c r="BX93" s="107">
        <v>0</v>
      </c>
      <c r="BY93" s="107">
        <v>0</v>
      </c>
      <c r="BZ93" s="108">
        <v>0</v>
      </c>
      <c r="CA93" s="109">
        <v>0</v>
      </c>
      <c r="CB93" s="109">
        <v>0</v>
      </c>
      <c r="CC93" s="110">
        <v>0</v>
      </c>
      <c r="CD93" s="110"/>
      <c r="CE93" s="110"/>
      <c r="CF93" s="104">
        <v>-9404000</v>
      </c>
      <c r="CG93" s="105">
        <v>-0.14299999999999999</v>
      </c>
      <c r="CH93" s="105">
        <v>2E-3</v>
      </c>
      <c r="CI93" s="105">
        <v>-0.14199999999999999</v>
      </c>
    </row>
    <row r="94" spans="1:87" s="222" customFormat="1" ht="34.200000000000003" x14ac:dyDescent="0.3">
      <c r="A94" s="57">
        <v>12759</v>
      </c>
      <c r="B94" s="57" t="s">
        <v>166</v>
      </c>
      <c r="C94" s="57" t="s">
        <v>75</v>
      </c>
      <c r="D94" s="57">
        <v>12759</v>
      </c>
      <c r="E94" s="57">
        <v>2025</v>
      </c>
      <c r="F94" s="57" t="s">
        <v>275</v>
      </c>
      <c r="G94" s="57">
        <v>2</v>
      </c>
      <c r="H94" s="57">
        <v>6</v>
      </c>
      <c r="I94" s="57" t="s">
        <v>709</v>
      </c>
      <c r="J94" s="100">
        <v>41821662</v>
      </c>
      <c r="K94" s="100">
        <v>20257017</v>
      </c>
      <c r="L94" s="100">
        <v>14823211</v>
      </c>
      <c r="M94" s="100">
        <v>121073143</v>
      </c>
      <c r="N94" s="100">
        <v>0</v>
      </c>
      <c r="O94" s="100">
        <v>5649010</v>
      </c>
      <c r="P94" s="100">
        <v>39377264</v>
      </c>
      <c r="Q94" s="104">
        <v>243001307</v>
      </c>
      <c r="R94" s="100">
        <v>229512258</v>
      </c>
      <c r="S94" s="100">
        <v>1662914</v>
      </c>
      <c r="T94" s="100">
        <v>0</v>
      </c>
      <c r="U94" s="100">
        <v>0</v>
      </c>
      <c r="V94" s="100">
        <v>744836454</v>
      </c>
      <c r="W94" s="100">
        <v>458957467</v>
      </c>
      <c r="X94" s="104">
        <v>285878987</v>
      </c>
      <c r="Y94" s="100">
        <v>86868629</v>
      </c>
      <c r="Z94" s="104">
        <v>603922788</v>
      </c>
      <c r="AA94" s="104">
        <v>846924095</v>
      </c>
      <c r="AB94" s="100">
        <v>21751480</v>
      </c>
      <c r="AC94" s="100">
        <v>67124</v>
      </c>
      <c r="AD94" s="100">
        <v>0</v>
      </c>
      <c r="AE94" s="100">
        <v>140754376</v>
      </c>
      <c r="AF94" s="104">
        <v>162572980</v>
      </c>
      <c r="AG94" s="100">
        <v>238219309</v>
      </c>
      <c r="AH94" s="100">
        <v>0</v>
      </c>
      <c r="AI94" s="100">
        <v>41000736</v>
      </c>
      <c r="AJ94" s="104">
        <v>279220045</v>
      </c>
      <c r="AK94" s="104">
        <v>441793025</v>
      </c>
      <c r="AL94" s="100">
        <v>382839072</v>
      </c>
      <c r="AM94" s="100">
        <v>0</v>
      </c>
      <c r="AN94" s="100">
        <v>22291998</v>
      </c>
      <c r="AO94" s="104">
        <v>405131070</v>
      </c>
      <c r="AP94" s="104">
        <v>846924095</v>
      </c>
      <c r="AQ94" s="100">
        <v>457648738</v>
      </c>
      <c r="AR94" s="100">
        <v>0</v>
      </c>
      <c r="AS94" s="100">
        <v>31562846</v>
      </c>
      <c r="AT94" s="100">
        <v>0</v>
      </c>
      <c r="AU94" s="100">
        <v>0</v>
      </c>
      <c r="AV94" s="100">
        <v>1359276</v>
      </c>
      <c r="AW94" s="104">
        <v>490570860</v>
      </c>
      <c r="AX94" s="100">
        <v>671648</v>
      </c>
      <c r="AY94" s="100">
        <v>576697</v>
      </c>
      <c r="AZ94" s="100">
        <v>-13185266</v>
      </c>
      <c r="BA94" s="100">
        <v>9661429</v>
      </c>
      <c r="BB94" s="100">
        <v>-1519173</v>
      </c>
      <c r="BC94" s="104">
        <v>-3794665</v>
      </c>
      <c r="BD94" s="104">
        <v>486776195</v>
      </c>
      <c r="BE94" s="100">
        <v>336245173</v>
      </c>
      <c r="BF94" s="100">
        <v>0</v>
      </c>
      <c r="BG94" s="100">
        <v>17544853</v>
      </c>
      <c r="BH94" s="100">
        <v>4860018</v>
      </c>
      <c r="BI94" s="100">
        <v>319527</v>
      </c>
      <c r="BJ94" s="100">
        <v>156078827</v>
      </c>
      <c r="BK94" s="100">
        <v>0</v>
      </c>
      <c r="BL94" s="104">
        <v>515048398</v>
      </c>
      <c r="BM94" s="104">
        <v>-28272203</v>
      </c>
      <c r="BN94" s="100">
        <v>0</v>
      </c>
      <c r="BO94" s="100">
        <v>1669089</v>
      </c>
      <c r="BP94" s="100">
        <v>-26603114</v>
      </c>
      <c r="BQ94" s="100">
        <v>0</v>
      </c>
      <c r="BR94" s="100">
        <v>0</v>
      </c>
      <c r="BS94" s="104">
        <v>-26603114</v>
      </c>
      <c r="BT94" s="105">
        <v>-0.05</v>
      </c>
      <c r="BU94" s="105">
        <v>-8.0000000000000002E-3</v>
      </c>
      <c r="BV94" s="105">
        <v>-5.8000000000000003E-2</v>
      </c>
      <c r="BW94" s="106">
        <v>1.5</v>
      </c>
      <c r="BX94" s="107">
        <v>48</v>
      </c>
      <c r="BY94" s="107">
        <v>60</v>
      </c>
      <c r="BZ94" s="108">
        <v>0.3</v>
      </c>
      <c r="CA94" s="109">
        <v>6.0000000000000001E-3</v>
      </c>
      <c r="CB94" s="109">
        <v>0.47799999999999998</v>
      </c>
      <c r="CC94" s="110">
        <v>26</v>
      </c>
      <c r="CD94" s="111">
        <v>23</v>
      </c>
      <c r="CE94" s="109">
        <v>0.38400000000000001</v>
      </c>
      <c r="CF94" s="104">
        <v>-3241000</v>
      </c>
      <c r="CG94" s="105">
        <v>-3.4119999999999999</v>
      </c>
      <c r="CH94" s="105">
        <v>0</v>
      </c>
      <c r="CI94" s="105">
        <v>-3.4119999999999999</v>
      </c>
    </row>
    <row r="95" spans="1:87" s="222" customFormat="1" ht="22.8" x14ac:dyDescent="0.3">
      <c r="A95" s="14">
        <v>12767</v>
      </c>
      <c r="B95" s="14" t="s">
        <v>203</v>
      </c>
      <c r="C95" s="14" t="s">
        <v>75</v>
      </c>
      <c r="D95" s="14">
        <v>12767</v>
      </c>
      <c r="E95" s="14">
        <v>2025</v>
      </c>
      <c r="F95" s="14" t="s">
        <v>275</v>
      </c>
      <c r="G95" s="14">
        <v>2</v>
      </c>
      <c r="H95" s="14">
        <v>6</v>
      </c>
      <c r="I95" s="14" t="s">
        <v>709</v>
      </c>
      <c r="J95" s="96">
        <v>21750198</v>
      </c>
      <c r="K95" s="96">
        <v>66622</v>
      </c>
      <c r="L95" s="96">
        <v>5721</v>
      </c>
      <c r="M95" s="96">
        <v>33362661</v>
      </c>
      <c r="N95" s="96">
        <v>0</v>
      </c>
      <c r="O95" s="96">
        <v>0</v>
      </c>
      <c r="P95" s="96">
        <v>16463485</v>
      </c>
      <c r="Q95" s="104">
        <v>71648687</v>
      </c>
      <c r="R95" s="96">
        <v>4252675</v>
      </c>
      <c r="S95" s="96">
        <v>20000</v>
      </c>
      <c r="T95" s="96">
        <v>0</v>
      </c>
      <c r="U95" s="96">
        <v>0</v>
      </c>
      <c r="V95" s="96">
        <v>187368631</v>
      </c>
      <c r="W95" s="96">
        <v>127878997</v>
      </c>
      <c r="X95" s="104">
        <v>59489634</v>
      </c>
      <c r="Y95" s="96">
        <v>15281246</v>
      </c>
      <c r="Z95" s="104">
        <v>79043555</v>
      </c>
      <c r="AA95" s="104">
        <v>150692242</v>
      </c>
      <c r="AB95" s="96">
        <v>2548888</v>
      </c>
      <c r="AC95" s="96">
        <v>5716976</v>
      </c>
      <c r="AD95" s="96">
        <v>0</v>
      </c>
      <c r="AE95" s="96">
        <v>57407644</v>
      </c>
      <c r="AF95" s="104">
        <v>65673508</v>
      </c>
      <c r="AG95" s="96">
        <v>18683145</v>
      </c>
      <c r="AH95" s="96">
        <v>0</v>
      </c>
      <c r="AI95" s="96">
        <v>8907272</v>
      </c>
      <c r="AJ95" s="104">
        <v>27590417</v>
      </c>
      <c r="AK95" s="104">
        <v>93263925</v>
      </c>
      <c r="AL95" s="96">
        <v>50004600</v>
      </c>
      <c r="AM95" s="96">
        <v>3800177</v>
      </c>
      <c r="AN95" s="96">
        <v>3623540</v>
      </c>
      <c r="AO95" s="104">
        <v>57428317</v>
      </c>
      <c r="AP95" s="104">
        <v>150692242</v>
      </c>
      <c r="AQ95" s="96">
        <v>139353278</v>
      </c>
      <c r="AR95" s="96">
        <v>957619</v>
      </c>
      <c r="AS95" s="96">
        <v>26595516</v>
      </c>
      <c r="AT95" s="96">
        <v>0</v>
      </c>
      <c r="AU95" s="96">
        <v>0</v>
      </c>
      <c r="AV95" s="96">
        <v>4654</v>
      </c>
      <c r="AW95" s="104">
        <v>166911067</v>
      </c>
      <c r="AX95" s="96">
        <v>134933</v>
      </c>
      <c r="AY95" s="96">
        <v>213711</v>
      </c>
      <c r="AZ95" s="96"/>
      <c r="BA95" s="96">
        <v>148435</v>
      </c>
      <c r="BB95" s="96">
        <v>-6390</v>
      </c>
      <c r="BC95" s="104">
        <v>254078</v>
      </c>
      <c r="BD95" s="104">
        <v>167165145</v>
      </c>
      <c r="BE95" s="96">
        <v>103898182</v>
      </c>
      <c r="BF95" s="96">
        <v>0</v>
      </c>
      <c r="BG95" s="96">
        <v>3521835</v>
      </c>
      <c r="BH95" s="96">
        <v>463896</v>
      </c>
      <c r="BI95" s="96">
        <v>3511102</v>
      </c>
      <c r="BJ95" s="96">
        <v>50109953</v>
      </c>
      <c r="BK95" s="96">
        <v>0</v>
      </c>
      <c r="BL95" s="104">
        <v>161504968</v>
      </c>
      <c r="BM95" s="104">
        <v>5660177</v>
      </c>
      <c r="BN95" s="96">
        <v>0</v>
      </c>
      <c r="BO95" s="96">
        <v>35077</v>
      </c>
      <c r="BP95" s="96">
        <v>5695254</v>
      </c>
      <c r="BQ95" s="96">
        <v>0</v>
      </c>
      <c r="BR95" s="96">
        <v>0</v>
      </c>
      <c r="BS95" s="104">
        <v>5695254</v>
      </c>
      <c r="BT95" s="109">
        <v>3.2000000000000001E-2</v>
      </c>
      <c r="BU95" s="109">
        <v>2E-3</v>
      </c>
      <c r="BV95" s="109">
        <v>3.4000000000000002E-2</v>
      </c>
      <c r="BW95" s="106">
        <v>1.1000000000000001</v>
      </c>
      <c r="BX95" s="107">
        <v>44</v>
      </c>
      <c r="BY95" s="107">
        <v>69</v>
      </c>
      <c r="BZ95" s="108">
        <v>3.2</v>
      </c>
      <c r="CA95" s="109">
        <v>0.109</v>
      </c>
      <c r="CB95" s="109">
        <v>0.38100000000000001</v>
      </c>
      <c r="CC95" s="110">
        <v>36</v>
      </c>
      <c r="CD95" s="110"/>
      <c r="CE95" s="110"/>
      <c r="CF95" s="104">
        <v>-11290000</v>
      </c>
      <c r="CG95" s="105">
        <v>-0.26500000000000001</v>
      </c>
      <c r="CH95" s="105">
        <v>0</v>
      </c>
      <c r="CI95" s="105">
        <v>-0.26500000000000001</v>
      </c>
    </row>
    <row r="96" spans="1:87" s="222" customFormat="1" ht="34.200000000000003" x14ac:dyDescent="0.3">
      <c r="A96" s="14">
        <v>12773</v>
      </c>
      <c r="B96" s="14" t="s">
        <v>179</v>
      </c>
      <c r="C96" s="14" t="s">
        <v>75</v>
      </c>
      <c r="D96" s="14">
        <v>12773</v>
      </c>
      <c r="E96" s="14">
        <v>2025</v>
      </c>
      <c r="F96" s="14" t="s">
        <v>275</v>
      </c>
      <c r="G96" s="14">
        <v>2</v>
      </c>
      <c r="H96" s="14">
        <v>6</v>
      </c>
      <c r="I96" s="14" t="s">
        <v>709</v>
      </c>
      <c r="J96" s="96">
        <v>23551568</v>
      </c>
      <c r="K96" s="96">
        <v>0</v>
      </c>
      <c r="L96" s="96">
        <v>0</v>
      </c>
      <c r="M96" s="96">
        <v>34796844</v>
      </c>
      <c r="N96" s="96">
        <v>0</v>
      </c>
      <c r="O96" s="96">
        <v>0</v>
      </c>
      <c r="P96" s="96">
        <v>17723996</v>
      </c>
      <c r="Q96" s="104">
        <v>76072408</v>
      </c>
      <c r="R96" s="96">
        <v>23640712</v>
      </c>
      <c r="S96" s="96">
        <v>0</v>
      </c>
      <c r="T96" s="96">
        <v>0</v>
      </c>
      <c r="U96" s="96">
        <v>0</v>
      </c>
      <c r="V96" s="96">
        <v>325546397</v>
      </c>
      <c r="W96" s="96">
        <v>177192160</v>
      </c>
      <c r="X96" s="104">
        <v>148354237</v>
      </c>
      <c r="Y96" s="96">
        <v>496228794</v>
      </c>
      <c r="Z96" s="104">
        <v>668223743</v>
      </c>
      <c r="AA96" s="104">
        <v>744296151</v>
      </c>
      <c r="AB96" s="96">
        <v>0</v>
      </c>
      <c r="AC96" s="96">
        <v>1264239</v>
      </c>
      <c r="AD96" s="96">
        <v>0</v>
      </c>
      <c r="AE96" s="96">
        <v>40592394</v>
      </c>
      <c r="AF96" s="104">
        <v>41856633</v>
      </c>
      <c r="AG96" s="96">
        <v>48932397</v>
      </c>
      <c r="AH96" s="96">
        <v>0</v>
      </c>
      <c r="AI96" s="96">
        <v>17520740</v>
      </c>
      <c r="AJ96" s="104">
        <v>66453137</v>
      </c>
      <c r="AK96" s="104">
        <v>108309770</v>
      </c>
      <c r="AL96" s="96">
        <v>629114182</v>
      </c>
      <c r="AM96" s="96">
        <v>6872199</v>
      </c>
      <c r="AN96" s="96">
        <v>0</v>
      </c>
      <c r="AO96" s="104">
        <v>635986381</v>
      </c>
      <c r="AP96" s="104">
        <v>744296151</v>
      </c>
      <c r="AQ96" s="96">
        <v>157658481</v>
      </c>
      <c r="AR96" s="96">
        <v>158972</v>
      </c>
      <c r="AS96" s="96">
        <v>7360545</v>
      </c>
      <c r="AT96" s="96">
        <v>0</v>
      </c>
      <c r="AU96" s="96">
        <v>0</v>
      </c>
      <c r="AV96" s="96">
        <v>0</v>
      </c>
      <c r="AW96" s="104">
        <v>165177998</v>
      </c>
      <c r="AX96" s="96">
        <v>21540399</v>
      </c>
      <c r="AY96" s="96">
        <v>131273</v>
      </c>
      <c r="AZ96" s="96">
        <v>0</v>
      </c>
      <c r="BA96" s="96">
        <v>-11969719</v>
      </c>
      <c r="BB96" s="96">
        <v>231555</v>
      </c>
      <c r="BC96" s="104">
        <v>9933508</v>
      </c>
      <c r="BD96" s="104">
        <v>175111506</v>
      </c>
      <c r="BE96" s="96">
        <v>113007923</v>
      </c>
      <c r="BF96" s="96">
        <v>0</v>
      </c>
      <c r="BG96" s="96">
        <v>7829716</v>
      </c>
      <c r="BH96" s="96">
        <v>0</v>
      </c>
      <c r="BI96" s="96">
        <v>1633716</v>
      </c>
      <c r="BJ96" s="96">
        <v>52988493</v>
      </c>
      <c r="BK96" s="96">
        <v>0</v>
      </c>
      <c r="BL96" s="104">
        <v>175459848</v>
      </c>
      <c r="BM96" s="104">
        <v>-348342</v>
      </c>
      <c r="BN96" s="96">
        <v>0</v>
      </c>
      <c r="BO96" s="96">
        <v>0</v>
      </c>
      <c r="BP96" s="96">
        <v>-348342</v>
      </c>
      <c r="BQ96" s="96">
        <v>0</v>
      </c>
      <c r="BR96" s="96">
        <v>0</v>
      </c>
      <c r="BS96" s="104">
        <v>-348342</v>
      </c>
      <c r="BT96" s="105">
        <v>-5.8999999999999997E-2</v>
      </c>
      <c r="BU96" s="105">
        <v>5.7000000000000002E-2</v>
      </c>
      <c r="BV96" s="105">
        <v>-2E-3</v>
      </c>
      <c r="BW96" s="106">
        <v>1.8</v>
      </c>
      <c r="BX96" s="107">
        <v>40</v>
      </c>
      <c r="BY96" s="107">
        <v>44</v>
      </c>
      <c r="BZ96" s="108">
        <v>0</v>
      </c>
      <c r="CA96" s="109">
        <v>8.2000000000000003E-2</v>
      </c>
      <c r="CB96" s="109">
        <v>0.85399999999999998</v>
      </c>
      <c r="CC96" s="110">
        <v>23</v>
      </c>
      <c r="CD96" s="111">
        <v>26</v>
      </c>
      <c r="CE96" s="109">
        <v>7.1999999999999995E-2</v>
      </c>
      <c r="CF96" s="104">
        <v>-47797000</v>
      </c>
      <c r="CG96" s="105">
        <v>-0.254</v>
      </c>
      <c r="CH96" s="105">
        <v>-1E-3</v>
      </c>
      <c r="CI96" s="105">
        <v>-0.255</v>
      </c>
    </row>
    <row r="97" spans="1:87" s="222" customFormat="1" ht="22.8" x14ac:dyDescent="0.3">
      <c r="A97" s="57">
        <v>12775</v>
      </c>
      <c r="B97" s="57" t="s">
        <v>190</v>
      </c>
      <c r="C97" s="57" t="s">
        <v>75</v>
      </c>
      <c r="D97" s="57">
        <v>12775</v>
      </c>
      <c r="E97" s="57">
        <v>2025</v>
      </c>
      <c r="F97" s="57" t="s">
        <v>275</v>
      </c>
      <c r="G97" s="57">
        <v>2</v>
      </c>
      <c r="H97" s="57">
        <v>6</v>
      </c>
      <c r="I97" s="57" t="s">
        <v>709</v>
      </c>
      <c r="J97" s="100">
        <v>81125000</v>
      </c>
      <c r="K97" s="100">
        <v>70506000</v>
      </c>
      <c r="L97" s="100">
        <v>11032000</v>
      </c>
      <c r="M97" s="100">
        <v>320596000</v>
      </c>
      <c r="N97" s="100">
        <v>0</v>
      </c>
      <c r="O97" s="100">
        <v>20381000</v>
      </c>
      <c r="P97" s="100">
        <v>184420000</v>
      </c>
      <c r="Q97" s="104">
        <v>688060000</v>
      </c>
      <c r="R97" s="100">
        <v>167200000</v>
      </c>
      <c r="S97" s="100">
        <v>0</v>
      </c>
      <c r="T97" s="100">
        <v>0</v>
      </c>
      <c r="U97" s="100">
        <v>40671000</v>
      </c>
      <c r="V97" s="100">
        <v>2092818000</v>
      </c>
      <c r="W97" s="100">
        <v>1379079000</v>
      </c>
      <c r="X97" s="104">
        <v>713739000</v>
      </c>
      <c r="Y97" s="100">
        <v>417739000</v>
      </c>
      <c r="Z97" s="104">
        <v>1339349000</v>
      </c>
      <c r="AA97" s="104">
        <v>2027409000</v>
      </c>
      <c r="AB97" s="100">
        <v>42053000</v>
      </c>
      <c r="AC97" s="100">
        <v>3561000</v>
      </c>
      <c r="AD97" s="100">
        <v>0</v>
      </c>
      <c r="AE97" s="100">
        <v>614348000</v>
      </c>
      <c r="AF97" s="104">
        <v>659962000</v>
      </c>
      <c r="AG97" s="100">
        <v>911617000</v>
      </c>
      <c r="AH97" s="100">
        <v>0</v>
      </c>
      <c r="AI97" s="100">
        <v>257036000</v>
      </c>
      <c r="AJ97" s="104">
        <v>1168653000</v>
      </c>
      <c r="AK97" s="104">
        <v>1828615000</v>
      </c>
      <c r="AL97" s="100">
        <v>146143000</v>
      </c>
      <c r="AM97" s="100">
        <v>23053000</v>
      </c>
      <c r="AN97" s="100">
        <v>29598000</v>
      </c>
      <c r="AO97" s="104">
        <v>198794000</v>
      </c>
      <c r="AP97" s="104">
        <v>2027409000</v>
      </c>
      <c r="AQ97" s="100">
        <v>1191265000</v>
      </c>
      <c r="AR97" s="100">
        <v>0</v>
      </c>
      <c r="AS97" s="100">
        <v>276330000</v>
      </c>
      <c r="AT97" s="100">
        <v>0</v>
      </c>
      <c r="AU97" s="100">
        <v>0</v>
      </c>
      <c r="AV97" s="100">
        <v>2557000</v>
      </c>
      <c r="AW97" s="104">
        <v>1470152000</v>
      </c>
      <c r="AX97" s="100">
        <v>6602000</v>
      </c>
      <c r="AY97" s="100">
        <v>-2969000</v>
      </c>
      <c r="AZ97" s="100">
        <v>-450000</v>
      </c>
      <c r="BA97" s="100">
        <v>2357000</v>
      </c>
      <c r="BB97" s="100">
        <v>-2467000</v>
      </c>
      <c r="BC97" s="104">
        <v>3073000</v>
      </c>
      <c r="BD97" s="104">
        <v>1473225000</v>
      </c>
      <c r="BE97" s="100">
        <v>803209000</v>
      </c>
      <c r="BF97" s="100">
        <v>0</v>
      </c>
      <c r="BG97" s="100">
        <v>42573000</v>
      </c>
      <c r="BH97" s="100">
        <v>23370000</v>
      </c>
      <c r="BI97" s="100">
        <v>27721000</v>
      </c>
      <c r="BJ97" s="100">
        <v>617455000</v>
      </c>
      <c r="BK97" s="100">
        <v>0</v>
      </c>
      <c r="BL97" s="104">
        <v>1514328000</v>
      </c>
      <c r="BM97" s="104">
        <v>-41103000</v>
      </c>
      <c r="BN97" s="100">
        <v>0</v>
      </c>
      <c r="BO97" s="100">
        <v>0</v>
      </c>
      <c r="BP97" s="100">
        <v>-41103000</v>
      </c>
      <c r="BQ97" s="100">
        <v>0</v>
      </c>
      <c r="BR97" s="100">
        <v>0</v>
      </c>
      <c r="BS97" s="104">
        <v>-41103000</v>
      </c>
      <c r="BT97" s="105">
        <v>-0.03</v>
      </c>
      <c r="BU97" s="105">
        <v>2E-3</v>
      </c>
      <c r="BV97" s="105">
        <v>-2.8000000000000001E-2</v>
      </c>
      <c r="BW97" s="106">
        <v>1</v>
      </c>
      <c r="BX97" s="107">
        <v>49</v>
      </c>
      <c r="BY97" s="107">
        <v>81</v>
      </c>
      <c r="BZ97" s="108">
        <v>0.4</v>
      </c>
      <c r="CA97" s="109">
        <v>1E-3</v>
      </c>
      <c r="CB97" s="109">
        <v>9.8000000000000004E-2</v>
      </c>
      <c r="CC97" s="110">
        <v>32</v>
      </c>
      <c r="CD97" s="111">
        <v>19</v>
      </c>
      <c r="CE97" s="109">
        <v>0.86199999999999999</v>
      </c>
      <c r="CF97" s="104">
        <v>2460000</v>
      </c>
      <c r="CG97" s="105">
        <v>1.6E-2</v>
      </c>
      <c r="CH97" s="105">
        <v>8.0000000000000002E-3</v>
      </c>
      <c r="CI97" s="105">
        <v>2.4E-2</v>
      </c>
    </row>
    <row r="98" spans="1:87" s="222" customFormat="1" ht="22.8" x14ac:dyDescent="0.3">
      <c r="A98" s="14">
        <v>12776</v>
      </c>
      <c r="B98" s="14" t="s">
        <v>130</v>
      </c>
      <c r="C98" s="14" t="s">
        <v>75</v>
      </c>
      <c r="D98" s="14">
        <v>12776</v>
      </c>
      <c r="E98" s="14">
        <v>2025</v>
      </c>
      <c r="F98" s="14" t="s">
        <v>275</v>
      </c>
      <c r="G98" s="14">
        <v>2</v>
      </c>
      <c r="H98" s="14">
        <v>6</v>
      </c>
      <c r="I98" s="14" t="s">
        <v>709</v>
      </c>
      <c r="J98" s="96">
        <v>22080835</v>
      </c>
      <c r="K98" s="96">
        <v>0</v>
      </c>
      <c r="L98" s="96">
        <v>0</v>
      </c>
      <c r="M98" s="96">
        <v>39448636</v>
      </c>
      <c r="N98" s="96">
        <v>0</v>
      </c>
      <c r="O98" s="96">
        <v>3656845</v>
      </c>
      <c r="P98" s="96">
        <v>48135144</v>
      </c>
      <c r="Q98" s="104">
        <v>113321460</v>
      </c>
      <c r="R98" s="96">
        <v>8763190</v>
      </c>
      <c r="S98" s="96">
        <v>0</v>
      </c>
      <c r="T98" s="96">
        <v>0</v>
      </c>
      <c r="U98" s="96">
        <v>0</v>
      </c>
      <c r="V98" s="96">
        <v>353763334</v>
      </c>
      <c r="W98" s="96">
        <v>243209606</v>
      </c>
      <c r="X98" s="104">
        <v>110553728</v>
      </c>
      <c r="Y98" s="96">
        <v>64512975</v>
      </c>
      <c r="Z98" s="104">
        <v>183829893</v>
      </c>
      <c r="AA98" s="104">
        <v>297151353</v>
      </c>
      <c r="AB98" s="96">
        <v>11203291</v>
      </c>
      <c r="AC98" s="96">
        <v>0</v>
      </c>
      <c r="AD98" s="96">
        <v>0</v>
      </c>
      <c r="AE98" s="96">
        <v>52614646</v>
      </c>
      <c r="AF98" s="104">
        <v>63817937</v>
      </c>
      <c r="AG98" s="96">
        <v>57666912</v>
      </c>
      <c r="AH98" s="96">
        <v>0</v>
      </c>
      <c r="AI98" s="96">
        <v>60521209</v>
      </c>
      <c r="AJ98" s="104">
        <v>118188121</v>
      </c>
      <c r="AK98" s="104">
        <v>182006058</v>
      </c>
      <c r="AL98" s="96">
        <v>97171787</v>
      </c>
      <c r="AM98" s="96">
        <v>14709567</v>
      </c>
      <c r="AN98" s="96">
        <v>3263941</v>
      </c>
      <c r="AO98" s="104">
        <v>115145295</v>
      </c>
      <c r="AP98" s="104">
        <v>297151353</v>
      </c>
      <c r="AQ98" s="96">
        <v>187905711</v>
      </c>
      <c r="AR98" s="96">
        <v>0</v>
      </c>
      <c r="AS98" s="96">
        <v>8234947</v>
      </c>
      <c r="AT98" s="96">
        <v>471173</v>
      </c>
      <c r="AU98" s="96">
        <v>0</v>
      </c>
      <c r="AV98" s="96">
        <v>869028</v>
      </c>
      <c r="AW98" s="104">
        <v>197480859</v>
      </c>
      <c r="AX98" s="96">
        <v>728155</v>
      </c>
      <c r="AY98" s="96">
        <v>4017281</v>
      </c>
      <c r="AZ98" s="96">
        <v>-341270</v>
      </c>
      <c r="BA98" s="96">
        <v>361236</v>
      </c>
      <c r="BB98" s="96">
        <v>0</v>
      </c>
      <c r="BC98" s="104">
        <v>4765402</v>
      </c>
      <c r="BD98" s="104">
        <v>202246261</v>
      </c>
      <c r="BE98" s="96">
        <v>108285081</v>
      </c>
      <c r="BF98" s="96">
        <v>0</v>
      </c>
      <c r="BG98" s="96">
        <v>5830295</v>
      </c>
      <c r="BH98" s="96">
        <v>1158206</v>
      </c>
      <c r="BI98" s="96">
        <v>2576212</v>
      </c>
      <c r="BJ98" s="96">
        <v>81084746</v>
      </c>
      <c r="BK98" s="96">
        <v>0</v>
      </c>
      <c r="BL98" s="104">
        <v>198934540</v>
      </c>
      <c r="BM98" s="104">
        <v>3311721</v>
      </c>
      <c r="BN98" s="96">
        <v>0</v>
      </c>
      <c r="BO98" s="96">
        <v>-1104106</v>
      </c>
      <c r="BP98" s="96">
        <v>2207615</v>
      </c>
      <c r="BQ98" s="96">
        <v>0</v>
      </c>
      <c r="BR98" s="96">
        <v>0</v>
      </c>
      <c r="BS98" s="104">
        <v>2207615</v>
      </c>
      <c r="BT98" s="105">
        <v>-7.0000000000000001E-3</v>
      </c>
      <c r="BU98" s="105">
        <v>2.4E-2</v>
      </c>
      <c r="BV98" s="105">
        <v>1.6E-2</v>
      </c>
      <c r="BW98" s="106">
        <v>1.8</v>
      </c>
      <c r="BX98" s="107">
        <v>38</v>
      </c>
      <c r="BY98" s="107">
        <v>60</v>
      </c>
      <c r="BZ98" s="108">
        <v>0.8</v>
      </c>
      <c r="CA98" s="109">
        <v>7.4999999999999997E-2</v>
      </c>
      <c r="CB98" s="109">
        <v>0.38700000000000001</v>
      </c>
      <c r="CC98" s="110">
        <v>42</v>
      </c>
      <c r="CD98" s="111">
        <v>21</v>
      </c>
      <c r="CE98" s="109">
        <v>0.372</v>
      </c>
      <c r="CF98" s="104">
        <v>-12588000</v>
      </c>
      <c r="CG98" s="105">
        <v>-0.502</v>
      </c>
      <c r="CH98" s="105">
        <v>0</v>
      </c>
      <c r="CI98" s="105">
        <v>-0.502</v>
      </c>
    </row>
    <row r="99" spans="1:87" s="222" customFormat="1" ht="22.8" x14ac:dyDescent="0.3">
      <c r="A99" s="14">
        <v>12807</v>
      </c>
      <c r="B99" s="14" t="s">
        <v>133</v>
      </c>
      <c r="C99" s="14" t="s">
        <v>75</v>
      </c>
      <c r="D99" s="14">
        <v>12807</v>
      </c>
      <c r="E99" s="14">
        <v>2025</v>
      </c>
      <c r="F99" s="14" t="s">
        <v>275</v>
      </c>
      <c r="G99" s="14">
        <v>2</v>
      </c>
      <c r="H99" s="14">
        <v>6</v>
      </c>
      <c r="I99" s="14" t="s">
        <v>709</v>
      </c>
      <c r="J99" s="96">
        <v>10467195</v>
      </c>
      <c r="K99" s="96">
        <v>0</v>
      </c>
      <c r="L99" s="96">
        <v>0</v>
      </c>
      <c r="M99" s="96">
        <v>28306401</v>
      </c>
      <c r="N99" s="96">
        <v>0</v>
      </c>
      <c r="O99" s="96">
        <v>0</v>
      </c>
      <c r="P99" s="96">
        <v>25618747</v>
      </c>
      <c r="Q99" s="104">
        <v>64392343</v>
      </c>
      <c r="R99" s="96">
        <v>5634315</v>
      </c>
      <c r="S99" s="96">
        <v>0</v>
      </c>
      <c r="T99" s="96">
        <v>0</v>
      </c>
      <c r="U99" s="96">
        <v>0</v>
      </c>
      <c r="V99" s="96">
        <v>193268851</v>
      </c>
      <c r="W99" s="96">
        <v>114047895</v>
      </c>
      <c r="X99" s="104">
        <v>79220956</v>
      </c>
      <c r="Y99" s="96">
        <v>16286448</v>
      </c>
      <c r="Z99" s="104">
        <v>101141719</v>
      </c>
      <c r="AA99" s="104">
        <v>165534062</v>
      </c>
      <c r="AB99" s="96">
        <v>2507026</v>
      </c>
      <c r="AC99" s="96">
        <v>5274790</v>
      </c>
      <c r="AD99" s="96">
        <v>0</v>
      </c>
      <c r="AE99" s="96">
        <v>52213271</v>
      </c>
      <c r="AF99" s="104">
        <v>59995087</v>
      </c>
      <c r="AG99" s="96">
        <v>68261462</v>
      </c>
      <c r="AH99" s="96">
        <v>0</v>
      </c>
      <c r="AI99" s="96">
        <v>39117091</v>
      </c>
      <c r="AJ99" s="104">
        <v>107378553</v>
      </c>
      <c r="AK99" s="104">
        <v>167373640</v>
      </c>
      <c r="AL99" s="96">
        <v>-9295265</v>
      </c>
      <c r="AM99" s="96">
        <v>5061060</v>
      </c>
      <c r="AN99" s="96">
        <v>2394627</v>
      </c>
      <c r="AO99" s="104">
        <v>-1839578</v>
      </c>
      <c r="AP99" s="104">
        <v>165534062</v>
      </c>
      <c r="AQ99" s="96">
        <v>107945575</v>
      </c>
      <c r="AR99" s="96">
        <v>0</v>
      </c>
      <c r="AS99" s="96">
        <v>17703395</v>
      </c>
      <c r="AT99" s="96">
        <v>0</v>
      </c>
      <c r="AU99" s="96">
        <v>0</v>
      </c>
      <c r="AV99" s="96">
        <v>0</v>
      </c>
      <c r="AW99" s="104">
        <v>125648970</v>
      </c>
      <c r="AX99" s="96">
        <v>18626</v>
      </c>
      <c r="AY99" s="96">
        <v>0</v>
      </c>
      <c r="AZ99" s="96">
        <v>0</v>
      </c>
      <c r="BA99" s="96">
        <v>0</v>
      </c>
      <c r="BB99" s="96">
        <v>0</v>
      </c>
      <c r="BC99" s="104">
        <v>18626</v>
      </c>
      <c r="BD99" s="104">
        <v>125667596</v>
      </c>
      <c r="BE99" s="96">
        <v>60108933</v>
      </c>
      <c r="BF99" s="96">
        <v>0</v>
      </c>
      <c r="BG99" s="96">
        <v>3301041</v>
      </c>
      <c r="BH99" s="96">
        <v>543932</v>
      </c>
      <c r="BI99" s="96">
        <v>6340516</v>
      </c>
      <c r="BJ99" s="96">
        <v>55371567</v>
      </c>
      <c r="BK99" s="96">
        <v>0</v>
      </c>
      <c r="BL99" s="104">
        <v>125665989</v>
      </c>
      <c r="BM99" s="104">
        <v>1607</v>
      </c>
      <c r="BN99" s="96">
        <v>0</v>
      </c>
      <c r="BO99" s="96">
        <v>0</v>
      </c>
      <c r="BP99" s="96">
        <v>1607</v>
      </c>
      <c r="BQ99" s="96">
        <v>0</v>
      </c>
      <c r="BR99" s="96">
        <v>0</v>
      </c>
      <c r="BS99" s="104">
        <v>1607</v>
      </c>
      <c r="BT99" s="105">
        <v>0</v>
      </c>
      <c r="BU99" s="105">
        <v>0</v>
      </c>
      <c r="BV99" s="105">
        <v>0</v>
      </c>
      <c r="BW99" s="106">
        <v>1.1000000000000001</v>
      </c>
      <c r="BX99" s="107">
        <v>48</v>
      </c>
      <c r="BY99" s="107">
        <v>82</v>
      </c>
      <c r="BZ99" s="108">
        <v>1.3</v>
      </c>
      <c r="CA99" s="109">
        <v>2.5999999999999999E-2</v>
      </c>
      <c r="CB99" s="109">
        <v>-1.0999999999999999E-2</v>
      </c>
      <c r="CC99" s="110">
        <v>35</v>
      </c>
      <c r="CD99" s="111">
        <v>16</v>
      </c>
      <c r="CE99" s="109">
        <v>1.1579999999999999</v>
      </c>
      <c r="CF99" s="104">
        <v>247000</v>
      </c>
      <c r="CG99" s="105">
        <v>0.248</v>
      </c>
      <c r="CH99" s="105">
        <v>0</v>
      </c>
      <c r="CI99" s="105">
        <v>0.248</v>
      </c>
    </row>
    <row r="100" spans="1:87" s="222" customFormat="1" ht="22.8" x14ac:dyDescent="0.3">
      <c r="A100" s="57">
        <v>13118</v>
      </c>
      <c r="B100" s="57" t="s">
        <v>140</v>
      </c>
      <c r="C100" s="57" t="s">
        <v>83</v>
      </c>
      <c r="D100" s="57">
        <v>13156</v>
      </c>
      <c r="E100" s="57">
        <v>2025</v>
      </c>
      <c r="F100" s="57" t="s">
        <v>275</v>
      </c>
      <c r="G100" s="57">
        <v>2</v>
      </c>
      <c r="H100" s="57">
        <v>6</v>
      </c>
      <c r="I100" s="57" t="s">
        <v>709</v>
      </c>
      <c r="J100" s="100">
        <v>0</v>
      </c>
      <c r="K100" s="100">
        <v>0</v>
      </c>
      <c r="L100" s="100">
        <v>0</v>
      </c>
      <c r="M100" s="100">
        <v>0</v>
      </c>
      <c r="N100" s="100">
        <v>0</v>
      </c>
      <c r="O100" s="100">
        <v>0</v>
      </c>
      <c r="P100" s="100">
        <v>0</v>
      </c>
      <c r="Q100" s="104">
        <v>0</v>
      </c>
      <c r="R100" s="100">
        <v>0</v>
      </c>
      <c r="S100" s="100">
        <v>0</v>
      </c>
      <c r="T100" s="100">
        <v>0</v>
      </c>
      <c r="U100" s="100">
        <v>0</v>
      </c>
      <c r="V100" s="100">
        <v>0</v>
      </c>
      <c r="W100" s="100">
        <v>0</v>
      </c>
      <c r="X100" s="104">
        <v>0</v>
      </c>
      <c r="Y100" s="100">
        <v>0</v>
      </c>
      <c r="Z100" s="104">
        <v>0</v>
      </c>
      <c r="AA100" s="104">
        <v>0</v>
      </c>
      <c r="AB100" s="100">
        <v>0</v>
      </c>
      <c r="AC100" s="100">
        <v>0</v>
      </c>
      <c r="AD100" s="100">
        <v>0</v>
      </c>
      <c r="AE100" s="100">
        <v>0</v>
      </c>
      <c r="AF100" s="104">
        <v>0</v>
      </c>
      <c r="AG100" s="100">
        <v>0</v>
      </c>
      <c r="AH100" s="100">
        <v>0</v>
      </c>
      <c r="AI100" s="100">
        <v>0</v>
      </c>
      <c r="AJ100" s="104">
        <v>0</v>
      </c>
      <c r="AK100" s="104">
        <v>0</v>
      </c>
      <c r="AL100" s="100">
        <v>0</v>
      </c>
      <c r="AM100" s="100">
        <v>0</v>
      </c>
      <c r="AN100" s="100">
        <v>0</v>
      </c>
      <c r="AO100" s="104">
        <v>0</v>
      </c>
      <c r="AP100" s="104">
        <v>0</v>
      </c>
      <c r="AQ100" s="100">
        <v>6744000</v>
      </c>
      <c r="AR100" s="100">
        <v>0</v>
      </c>
      <c r="AS100" s="100">
        <v>7078000</v>
      </c>
      <c r="AT100" s="100">
        <v>0</v>
      </c>
      <c r="AU100" s="100">
        <v>0</v>
      </c>
      <c r="AV100" s="100">
        <v>0</v>
      </c>
      <c r="AW100" s="104">
        <v>13822000</v>
      </c>
      <c r="AX100" s="100">
        <v>0</v>
      </c>
      <c r="AY100" s="100">
        <v>0</v>
      </c>
      <c r="AZ100" s="100">
        <v>0</v>
      </c>
      <c r="BA100" s="100">
        <v>0</v>
      </c>
      <c r="BB100" s="100">
        <v>0</v>
      </c>
      <c r="BC100" s="104">
        <v>0</v>
      </c>
      <c r="BD100" s="104">
        <v>13822000</v>
      </c>
      <c r="BE100" s="100">
        <v>15684000</v>
      </c>
      <c r="BF100" s="100">
        <v>0</v>
      </c>
      <c r="BG100" s="100">
        <v>88000</v>
      </c>
      <c r="BH100" s="100">
        <v>0</v>
      </c>
      <c r="BI100" s="100">
        <v>0</v>
      </c>
      <c r="BJ100" s="100">
        <v>3604000</v>
      </c>
      <c r="BK100" s="100">
        <v>0</v>
      </c>
      <c r="BL100" s="104">
        <v>19376000</v>
      </c>
      <c r="BM100" s="104">
        <v>-5554000</v>
      </c>
      <c r="BN100" s="100">
        <v>0</v>
      </c>
      <c r="BO100" s="100">
        <v>0</v>
      </c>
      <c r="BP100" s="100">
        <v>-5554000</v>
      </c>
      <c r="BQ100" s="100">
        <v>0</v>
      </c>
      <c r="BR100" s="100">
        <v>0</v>
      </c>
      <c r="BS100" s="104">
        <v>-5554000</v>
      </c>
      <c r="BT100" s="105">
        <v>-0.40200000000000002</v>
      </c>
      <c r="BU100" s="105">
        <v>0</v>
      </c>
      <c r="BV100" s="105">
        <v>-0.40200000000000002</v>
      </c>
      <c r="BW100" s="106">
        <v>0</v>
      </c>
      <c r="BX100" s="107">
        <v>0</v>
      </c>
      <c r="BY100" s="107">
        <v>0</v>
      </c>
      <c r="BZ100" s="108">
        <v>0</v>
      </c>
      <c r="CA100" s="109">
        <v>0</v>
      </c>
      <c r="CB100" s="109">
        <v>0</v>
      </c>
      <c r="CC100" s="110">
        <v>0</v>
      </c>
      <c r="CD100" s="111">
        <v>0</v>
      </c>
      <c r="CE100" s="109">
        <v>0</v>
      </c>
      <c r="CF100" s="104">
        <v>-16305000</v>
      </c>
      <c r="CG100" s="105">
        <v>-0.501</v>
      </c>
      <c r="CH100" s="105">
        <v>-0.02</v>
      </c>
      <c r="CI100" s="105">
        <v>-0.52100000000000002</v>
      </c>
    </row>
    <row r="101" spans="1:87" s="222" customFormat="1" ht="22.8" x14ac:dyDescent="0.3">
      <c r="A101" s="57">
        <v>13120</v>
      </c>
      <c r="B101" s="57" t="s">
        <v>169</v>
      </c>
      <c r="C101" s="57" t="s">
        <v>83</v>
      </c>
      <c r="D101" s="57">
        <v>12759</v>
      </c>
      <c r="E101" s="57">
        <v>2025</v>
      </c>
      <c r="F101" s="57" t="s">
        <v>275</v>
      </c>
      <c r="G101" s="57">
        <v>2</v>
      </c>
      <c r="H101" s="57">
        <v>6</v>
      </c>
      <c r="I101" s="57" t="s">
        <v>709</v>
      </c>
      <c r="J101" s="100">
        <v>0</v>
      </c>
      <c r="K101" s="100">
        <v>0</v>
      </c>
      <c r="L101" s="100">
        <v>0</v>
      </c>
      <c r="M101" s="100">
        <v>0</v>
      </c>
      <c r="N101" s="100">
        <v>0</v>
      </c>
      <c r="O101" s="100">
        <v>0</v>
      </c>
      <c r="P101" s="100">
        <v>0</v>
      </c>
      <c r="Q101" s="104">
        <v>0</v>
      </c>
      <c r="R101" s="100">
        <v>0</v>
      </c>
      <c r="S101" s="100">
        <v>0</v>
      </c>
      <c r="T101" s="100">
        <v>0</v>
      </c>
      <c r="U101" s="100">
        <v>0</v>
      </c>
      <c r="V101" s="100">
        <v>0</v>
      </c>
      <c r="W101" s="100">
        <v>0</v>
      </c>
      <c r="X101" s="104">
        <v>0</v>
      </c>
      <c r="Y101" s="100">
        <v>0</v>
      </c>
      <c r="Z101" s="104">
        <v>0</v>
      </c>
      <c r="AA101" s="104">
        <v>0</v>
      </c>
      <c r="AB101" s="100">
        <v>0</v>
      </c>
      <c r="AC101" s="100">
        <v>0</v>
      </c>
      <c r="AD101" s="100">
        <v>0</v>
      </c>
      <c r="AE101" s="100">
        <v>0</v>
      </c>
      <c r="AF101" s="104">
        <v>0</v>
      </c>
      <c r="AG101" s="100">
        <v>0</v>
      </c>
      <c r="AH101" s="100">
        <v>0</v>
      </c>
      <c r="AI101" s="100">
        <v>0</v>
      </c>
      <c r="AJ101" s="104">
        <v>0</v>
      </c>
      <c r="AK101" s="104">
        <v>0</v>
      </c>
      <c r="AL101" s="100">
        <v>0</v>
      </c>
      <c r="AM101" s="100">
        <v>0</v>
      </c>
      <c r="AN101" s="100">
        <v>0</v>
      </c>
      <c r="AO101" s="104">
        <v>0</v>
      </c>
      <c r="AP101" s="104">
        <v>0</v>
      </c>
      <c r="AQ101" s="100">
        <v>49684702</v>
      </c>
      <c r="AR101" s="100">
        <v>0</v>
      </c>
      <c r="AS101" s="100">
        <v>5284413</v>
      </c>
      <c r="AT101" s="100">
        <v>0</v>
      </c>
      <c r="AU101" s="100">
        <v>0</v>
      </c>
      <c r="AV101" s="100">
        <v>0</v>
      </c>
      <c r="AW101" s="104">
        <v>54969115</v>
      </c>
      <c r="AX101" s="100">
        <v>0</v>
      </c>
      <c r="AY101" s="100">
        <v>0</v>
      </c>
      <c r="AZ101" s="100">
        <v>-3486</v>
      </c>
      <c r="BA101" s="100">
        <v>0</v>
      </c>
      <c r="BB101" s="100">
        <v>0</v>
      </c>
      <c r="BC101" s="104">
        <v>-3486</v>
      </c>
      <c r="BD101" s="104">
        <v>54965629</v>
      </c>
      <c r="BE101" s="100">
        <v>41543257</v>
      </c>
      <c r="BF101" s="100">
        <v>0</v>
      </c>
      <c r="BG101" s="100">
        <v>1136861</v>
      </c>
      <c r="BH101" s="100">
        <v>831044</v>
      </c>
      <c r="BI101" s="100">
        <v>0</v>
      </c>
      <c r="BJ101" s="100">
        <v>19047868</v>
      </c>
      <c r="BK101" s="100">
        <v>0</v>
      </c>
      <c r="BL101" s="104">
        <v>62559030</v>
      </c>
      <c r="BM101" s="104">
        <v>-7593401</v>
      </c>
      <c r="BN101" s="100">
        <v>0</v>
      </c>
      <c r="BO101" s="100">
        <v>0</v>
      </c>
      <c r="BP101" s="100">
        <v>-7593401</v>
      </c>
      <c r="BQ101" s="100">
        <v>0</v>
      </c>
      <c r="BR101" s="100">
        <v>0</v>
      </c>
      <c r="BS101" s="104">
        <v>-7593401</v>
      </c>
      <c r="BT101" s="105">
        <v>-0.13800000000000001</v>
      </c>
      <c r="BU101" s="105">
        <v>0</v>
      </c>
      <c r="BV101" s="105">
        <v>-0.13800000000000001</v>
      </c>
      <c r="BW101" s="106">
        <v>0</v>
      </c>
      <c r="BX101" s="107">
        <v>0</v>
      </c>
      <c r="BY101" s="107">
        <v>0</v>
      </c>
      <c r="BZ101" s="108">
        <v>-6.8</v>
      </c>
      <c r="CA101" s="109">
        <v>0</v>
      </c>
      <c r="CB101" s="109">
        <v>0</v>
      </c>
      <c r="CC101" s="110">
        <v>0</v>
      </c>
      <c r="CD101" s="111">
        <v>0</v>
      </c>
      <c r="CE101" s="109">
        <v>0</v>
      </c>
      <c r="CF101" s="104">
        <v>-1913000</v>
      </c>
      <c r="CG101" s="105">
        <v>-0.10299999999999999</v>
      </c>
      <c r="CH101" s="105">
        <v>0</v>
      </c>
      <c r="CI101" s="105">
        <v>-0.10299999999999999</v>
      </c>
    </row>
    <row r="102" spans="1:87" s="222" customFormat="1" ht="34.200000000000003" x14ac:dyDescent="0.3">
      <c r="A102" s="14">
        <v>13155</v>
      </c>
      <c r="B102" s="14" t="s">
        <v>127</v>
      </c>
      <c r="C102" s="14" t="s">
        <v>75</v>
      </c>
      <c r="D102" s="14">
        <v>13155</v>
      </c>
      <c r="E102" s="14">
        <v>2025</v>
      </c>
      <c r="F102" s="14" t="s">
        <v>275</v>
      </c>
      <c r="G102" s="14">
        <v>2</v>
      </c>
      <c r="H102" s="14">
        <v>6</v>
      </c>
      <c r="I102" s="14" t="s">
        <v>709</v>
      </c>
      <c r="J102" s="96">
        <v>124574354.92399999</v>
      </c>
      <c r="K102" s="96">
        <v>0</v>
      </c>
      <c r="L102" s="96">
        <v>710923.48</v>
      </c>
      <c r="M102" s="96">
        <v>288057516.46399999</v>
      </c>
      <c r="N102" s="96">
        <v>0</v>
      </c>
      <c r="O102" s="96">
        <v>0</v>
      </c>
      <c r="P102" s="96">
        <v>392903569.56</v>
      </c>
      <c r="Q102" s="104">
        <v>806246364.42799997</v>
      </c>
      <c r="R102" s="96">
        <v>0</v>
      </c>
      <c r="S102" s="96">
        <v>58307601</v>
      </c>
      <c r="T102" s="96">
        <v>0</v>
      </c>
      <c r="U102" s="96">
        <v>0</v>
      </c>
      <c r="V102" s="96">
        <v>2376442148.9000001</v>
      </c>
      <c r="W102" s="96">
        <v>1340403214.3199999</v>
      </c>
      <c r="X102" s="104">
        <v>1036038934.58</v>
      </c>
      <c r="Y102" s="96">
        <v>3667541512.73</v>
      </c>
      <c r="Z102" s="104">
        <v>4761888048.3100004</v>
      </c>
      <c r="AA102" s="104">
        <v>5568134412.7379999</v>
      </c>
      <c r="AB102" s="96">
        <v>99084717.859999999</v>
      </c>
      <c r="AC102" s="96">
        <v>45916805.43</v>
      </c>
      <c r="AD102" s="96">
        <v>0</v>
      </c>
      <c r="AE102" s="96">
        <v>511471946.27499998</v>
      </c>
      <c r="AF102" s="104">
        <v>656473469.56500006</v>
      </c>
      <c r="AG102" s="96">
        <v>440432821.23000002</v>
      </c>
      <c r="AH102" s="96">
        <v>0</v>
      </c>
      <c r="AI102" s="96">
        <v>397713493.82999998</v>
      </c>
      <c r="AJ102" s="104">
        <v>838146315.05999994</v>
      </c>
      <c r="AK102" s="104">
        <v>1494619784.625</v>
      </c>
      <c r="AL102" s="96">
        <v>2112277036.8610001</v>
      </c>
      <c r="AM102" s="96">
        <v>1620743795.279</v>
      </c>
      <c r="AN102" s="96">
        <v>340493795.97000003</v>
      </c>
      <c r="AO102" s="104">
        <v>4073514628.1100001</v>
      </c>
      <c r="AP102" s="104">
        <v>5568134412.7349997</v>
      </c>
      <c r="AQ102" s="96">
        <v>1465859861.23</v>
      </c>
      <c r="AR102" s="96">
        <v>0</v>
      </c>
      <c r="AS102" s="96">
        <v>177399446.25999999</v>
      </c>
      <c r="AT102" s="96">
        <v>0</v>
      </c>
      <c r="AU102" s="96">
        <v>0</v>
      </c>
      <c r="AV102" s="96">
        <v>89978911.400000006</v>
      </c>
      <c r="AW102" s="104">
        <v>1733238218.8900001</v>
      </c>
      <c r="AX102" s="96">
        <v>-376166.15</v>
      </c>
      <c r="AY102" s="96">
        <v>188826579.61000001</v>
      </c>
      <c r="AZ102" s="96">
        <v>-9653893.4000000004</v>
      </c>
      <c r="BA102" s="96">
        <v>52587078.479999997</v>
      </c>
      <c r="BB102" s="96">
        <v>0</v>
      </c>
      <c r="BC102" s="104">
        <v>231383598.53999999</v>
      </c>
      <c r="BD102" s="104">
        <v>1964621817.4300001</v>
      </c>
      <c r="BE102" s="96">
        <v>587392710.19000006</v>
      </c>
      <c r="BF102" s="96">
        <v>0</v>
      </c>
      <c r="BG102" s="96">
        <v>47943845.409999996</v>
      </c>
      <c r="BH102" s="96">
        <v>8786666.1600000001</v>
      </c>
      <c r="BI102" s="96">
        <v>10397508</v>
      </c>
      <c r="BJ102" s="96">
        <v>1203022852.24</v>
      </c>
      <c r="BK102" s="96">
        <v>0</v>
      </c>
      <c r="BL102" s="104">
        <v>1857543582</v>
      </c>
      <c r="BM102" s="104">
        <v>107078235.43000101</v>
      </c>
      <c r="BN102" s="96">
        <v>0</v>
      </c>
      <c r="BO102" s="96">
        <v>0</v>
      </c>
      <c r="BP102" s="96">
        <v>107078235.43000101</v>
      </c>
      <c r="BQ102" s="96">
        <v>0</v>
      </c>
      <c r="BR102" s="96">
        <v>0</v>
      </c>
      <c r="BS102" s="104">
        <v>107078235.43000101</v>
      </c>
      <c r="BT102" s="105">
        <v>-6.3E-2</v>
      </c>
      <c r="BU102" s="105">
        <v>0.11799999999999999</v>
      </c>
      <c r="BV102" s="105">
        <v>5.5E-2</v>
      </c>
      <c r="BW102" s="106">
        <v>1.2</v>
      </c>
      <c r="BX102" s="107">
        <v>36</v>
      </c>
      <c r="BY102" s="107">
        <v>62</v>
      </c>
      <c r="BZ102" s="108">
        <v>1.5</v>
      </c>
      <c r="CA102" s="109">
        <v>0.14099999999999999</v>
      </c>
      <c r="CB102" s="109">
        <v>0.73199999999999998</v>
      </c>
      <c r="CC102" s="110">
        <v>28</v>
      </c>
      <c r="CD102" s="111">
        <v>13</v>
      </c>
      <c r="CE102" s="109">
        <v>0.17299999999999999</v>
      </c>
      <c r="CF102" s="104">
        <v>-4129000</v>
      </c>
      <c r="CG102" s="105">
        <v>-0.71499999999999997</v>
      </c>
      <c r="CH102" s="105">
        <v>0</v>
      </c>
      <c r="CI102" s="105">
        <v>-0.71499999999999997</v>
      </c>
    </row>
    <row r="103" spans="1:87" s="222" customFormat="1" ht="22.8" x14ac:dyDescent="0.3">
      <c r="A103" s="14">
        <v>13156</v>
      </c>
      <c r="B103" s="14" t="s">
        <v>138</v>
      </c>
      <c r="C103" s="14" t="s">
        <v>75</v>
      </c>
      <c r="D103" s="14">
        <v>13156</v>
      </c>
      <c r="E103" s="14">
        <v>2025</v>
      </c>
      <c r="F103" s="14" t="s">
        <v>275</v>
      </c>
      <c r="G103" s="14">
        <v>2</v>
      </c>
      <c r="H103" s="14">
        <v>6</v>
      </c>
      <c r="I103" s="14" t="s">
        <v>709</v>
      </c>
      <c r="J103" s="96">
        <v>0</v>
      </c>
      <c r="K103" s="96">
        <v>0</v>
      </c>
      <c r="L103" s="96">
        <v>0</v>
      </c>
      <c r="M103" s="96">
        <v>0</v>
      </c>
      <c r="N103" s="96">
        <v>0</v>
      </c>
      <c r="O103" s="96">
        <v>0</v>
      </c>
      <c r="P103" s="96">
        <v>0</v>
      </c>
      <c r="Q103" s="104">
        <v>0</v>
      </c>
      <c r="R103" s="96">
        <v>0</v>
      </c>
      <c r="S103" s="96">
        <v>0</v>
      </c>
      <c r="T103" s="96">
        <v>0</v>
      </c>
      <c r="U103" s="96">
        <v>0</v>
      </c>
      <c r="V103" s="96">
        <v>0</v>
      </c>
      <c r="W103" s="96">
        <v>0</v>
      </c>
      <c r="X103" s="104">
        <v>0</v>
      </c>
      <c r="Y103" s="96">
        <v>0</v>
      </c>
      <c r="Z103" s="104">
        <v>0</v>
      </c>
      <c r="AA103" s="104">
        <v>0</v>
      </c>
      <c r="AB103" s="96">
        <v>0</v>
      </c>
      <c r="AC103" s="96">
        <v>0</v>
      </c>
      <c r="AD103" s="96">
        <v>0</v>
      </c>
      <c r="AE103" s="96">
        <v>0</v>
      </c>
      <c r="AF103" s="104">
        <v>0</v>
      </c>
      <c r="AG103" s="96">
        <v>0</v>
      </c>
      <c r="AH103" s="96">
        <v>0</v>
      </c>
      <c r="AI103" s="96">
        <v>0</v>
      </c>
      <c r="AJ103" s="104">
        <v>0</v>
      </c>
      <c r="AK103" s="104">
        <v>0</v>
      </c>
      <c r="AL103" s="96">
        <v>0</v>
      </c>
      <c r="AM103" s="96">
        <v>0</v>
      </c>
      <c r="AN103" s="96">
        <v>0</v>
      </c>
      <c r="AO103" s="104">
        <v>0</v>
      </c>
      <c r="AP103" s="104">
        <v>0</v>
      </c>
      <c r="AQ103" s="96">
        <v>263441000</v>
      </c>
      <c r="AR103" s="96">
        <v>0</v>
      </c>
      <c r="AS103" s="96">
        <v>27243000</v>
      </c>
      <c r="AT103" s="96">
        <v>0</v>
      </c>
      <c r="AU103" s="96">
        <v>0</v>
      </c>
      <c r="AV103" s="96">
        <v>42000</v>
      </c>
      <c r="AW103" s="104">
        <v>290726000</v>
      </c>
      <c r="AX103" s="96">
        <v>814000</v>
      </c>
      <c r="AY103" s="96">
        <v>0</v>
      </c>
      <c r="AZ103" s="96">
        <v>-815000</v>
      </c>
      <c r="BA103" s="96">
        <v>0</v>
      </c>
      <c r="BB103" s="96">
        <v>1634000</v>
      </c>
      <c r="BC103" s="104">
        <v>1633000</v>
      </c>
      <c r="BD103" s="104">
        <v>292359000</v>
      </c>
      <c r="BE103" s="96">
        <v>147758000</v>
      </c>
      <c r="BF103" s="96">
        <v>0</v>
      </c>
      <c r="BG103" s="96">
        <v>9061000</v>
      </c>
      <c r="BH103" s="96">
        <v>2517000</v>
      </c>
      <c r="BI103" s="96">
        <v>6575604</v>
      </c>
      <c r="BJ103" s="96">
        <v>155040396</v>
      </c>
      <c r="BK103" s="96">
        <v>0</v>
      </c>
      <c r="BL103" s="104">
        <v>320952000</v>
      </c>
      <c r="BM103" s="104">
        <v>-28593000</v>
      </c>
      <c r="BN103" s="96">
        <v>1000</v>
      </c>
      <c r="BO103" s="96">
        <v>-430000</v>
      </c>
      <c r="BP103" s="96">
        <v>-29022000</v>
      </c>
      <c r="BQ103" s="96">
        <v>0</v>
      </c>
      <c r="BR103" s="96">
        <v>0</v>
      </c>
      <c r="BS103" s="104">
        <v>-29022000</v>
      </c>
      <c r="BT103" s="105">
        <v>-0.10299999999999999</v>
      </c>
      <c r="BU103" s="105">
        <v>6.0000000000000001E-3</v>
      </c>
      <c r="BV103" s="105">
        <v>-9.8000000000000004E-2</v>
      </c>
      <c r="BW103" s="106">
        <v>0</v>
      </c>
      <c r="BX103" s="107">
        <v>0</v>
      </c>
      <c r="BY103" s="107">
        <v>0</v>
      </c>
      <c r="BZ103" s="108">
        <v>-6.4</v>
      </c>
      <c r="CA103" s="109">
        <v>0</v>
      </c>
      <c r="CB103" s="109">
        <v>0</v>
      </c>
      <c r="CC103" s="110">
        <v>0</v>
      </c>
      <c r="CD103" s="111">
        <v>0</v>
      </c>
      <c r="CE103" s="109">
        <v>0</v>
      </c>
      <c r="CF103" s="104">
        <v>-52093000</v>
      </c>
      <c r="CG103" s="109">
        <v>-4.1000000000000002E-2</v>
      </c>
      <c r="CH103" s="109">
        <v>5.0000000000000001E-3</v>
      </c>
      <c r="CI103" s="109">
        <v>-3.5999999999999997E-2</v>
      </c>
    </row>
    <row r="104" spans="1:87" s="222" customFormat="1" ht="22.8" x14ac:dyDescent="0.3">
      <c r="A104" s="57">
        <v>13158</v>
      </c>
      <c r="B104" s="57" t="s">
        <v>613</v>
      </c>
      <c r="C104" s="57" t="s">
        <v>75</v>
      </c>
      <c r="D104" s="57">
        <v>13158</v>
      </c>
      <c r="E104" s="57">
        <v>2025</v>
      </c>
      <c r="F104" s="57" t="s">
        <v>630</v>
      </c>
      <c r="G104" s="57">
        <v>1</v>
      </c>
      <c r="H104" s="57">
        <v>3</v>
      </c>
      <c r="I104" s="57" t="s">
        <v>710</v>
      </c>
      <c r="J104" s="100">
        <v>18127000</v>
      </c>
      <c r="K104" s="100">
        <v>0</v>
      </c>
      <c r="L104" s="100">
        <v>875291000</v>
      </c>
      <c r="M104" s="100">
        <v>32709000</v>
      </c>
      <c r="N104" s="100">
        <v>172151000</v>
      </c>
      <c r="O104" s="100">
        <v>0</v>
      </c>
      <c r="P104" s="100">
        <v>10491329000</v>
      </c>
      <c r="Q104" s="104">
        <v>11589607000</v>
      </c>
      <c r="R104" s="100">
        <v>0</v>
      </c>
      <c r="S104" s="100">
        <v>0</v>
      </c>
      <c r="T104" s="100">
        <v>0</v>
      </c>
      <c r="U104" s="100">
        <v>0</v>
      </c>
      <c r="V104" s="100">
        <v>802971000</v>
      </c>
      <c r="W104" s="100">
        <v>0</v>
      </c>
      <c r="X104" s="104">
        <v>802971000</v>
      </c>
      <c r="Y104" s="100">
        <v>0</v>
      </c>
      <c r="Z104" s="104">
        <v>802971000</v>
      </c>
      <c r="AA104" s="104">
        <v>12392578000</v>
      </c>
      <c r="AB104" s="100">
        <v>0</v>
      </c>
      <c r="AC104" s="100">
        <v>0</v>
      </c>
      <c r="AD104" s="100">
        <v>0</v>
      </c>
      <c r="AE104" s="100">
        <v>1099674000</v>
      </c>
      <c r="AF104" s="104">
        <v>1099674000</v>
      </c>
      <c r="AG104" s="100">
        <v>0</v>
      </c>
      <c r="AH104" s="100">
        <v>0</v>
      </c>
      <c r="AI104" s="100">
        <v>0</v>
      </c>
      <c r="AJ104" s="104">
        <v>0</v>
      </c>
      <c r="AK104" s="104">
        <v>1099674000</v>
      </c>
      <c r="AL104" s="100">
        <v>9767940000</v>
      </c>
      <c r="AM104" s="100">
        <v>1524964000</v>
      </c>
      <c r="AN104" s="100">
        <v>0</v>
      </c>
      <c r="AO104" s="104">
        <v>11292904000</v>
      </c>
      <c r="AP104" s="104">
        <v>12392578000</v>
      </c>
      <c r="AQ104" s="100">
        <v>44825000</v>
      </c>
      <c r="AR104" s="100">
        <v>0</v>
      </c>
      <c r="AS104" s="100">
        <v>169166000</v>
      </c>
      <c r="AT104" s="100">
        <v>0</v>
      </c>
      <c r="AU104" s="100">
        <v>0</v>
      </c>
      <c r="AV104" s="100">
        <v>0</v>
      </c>
      <c r="AW104" s="104">
        <v>213991000</v>
      </c>
      <c r="AX104" s="100">
        <v>118669000</v>
      </c>
      <c r="AY104" s="100">
        <v>0</v>
      </c>
      <c r="AZ104" s="100"/>
      <c r="BA104" s="100">
        <v>0</v>
      </c>
      <c r="BB104" s="100">
        <v>0</v>
      </c>
      <c r="BC104" s="104">
        <v>118669000</v>
      </c>
      <c r="BD104" s="104">
        <v>332660000</v>
      </c>
      <c r="BE104" s="100">
        <v>0</v>
      </c>
      <c r="BF104" s="100">
        <v>0</v>
      </c>
      <c r="BG104" s="100">
        <v>0</v>
      </c>
      <c r="BH104" s="100">
        <v>0</v>
      </c>
      <c r="BI104" s="100">
        <v>0</v>
      </c>
      <c r="BJ104" s="100">
        <v>302311000</v>
      </c>
      <c r="BK104" s="100">
        <v>0</v>
      </c>
      <c r="BL104" s="104">
        <v>302311000</v>
      </c>
      <c r="BM104" s="104">
        <v>30349000</v>
      </c>
      <c r="BN104" s="100">
        <v>0</v>
      </c>
      <c r="BO104" s="100">
        <v>-111244000</v>
      </c>
      <c r="BP104" s="100">
        <v>-80895000</v>
      </c>
      <c r="BQ104" s="100">
        <v>0</v>
      </c>
      <c r="BR104" s="100">
        <v>0</v>
      </c>
      <c r="BS104" s="104">
        <v>-80895000</v>
      </c>
      <c r="BT104" s="109">
        <v>-0.26500000000000001</v>
      </c>
      <c r="BU104" s="109">
        <v>0.35699999999999998</v>
      </c>
      <c r="BV104" s="109">
        <v>9.0999999999999998E-2</v>
      </c>
      <c r="BW104" s="106">
        <v>10.5</v>
      </c>
      <c r="BX104" s="107">
        <v>67</v>
      </c>
      <c r="BY104" s="107">
        <v>332</v>
      </c>
      <c r="BZ104" s="108">
        <v>0</v>
      </c>
      <c r="CA104" s="109">
        <v>2.8000000000000001E-2</v>
      </c>
      <c r="CB104" s="109">
        <v>0.91100000000000003</v>
      </c>
      <c r="CC104" s="110">
        <v>0</v>
      </c>
      <c r="CD104" s="110"/>
      <c r="CE104" s="110"/>
      <c r="CF104" s="104">
        <v>0</v>
      </c>
      <c r="CG104" s="109">
        <v>0</v>
      </c>
      <c r="CH104" s="109">
        <v>15370145</v>
      </c>
      <c r="CI104" s="109">
        <v>-4.1000000000000002E-2</v>
      </c>
    </row>
    <row r="105" spans="1:87" s="222" customFormat="1" ht="22.8" x14ac:dyDescent="0.3">
      <c r="A105" s="14">
        <v>13159</v>
      </c>
      <c r="B105" s="14" t="s">
        <v>121</v>
      </c>
      <c r="C105" s="14" t="s">
        <v>75</v>
      </c>
      <c r="D105" s="14">
        <v>13159</v>
      </c>
      <c r="E105" s="14">
        <v>2025</v>
      </c>
      <c r="F105" s="14" t="s">
        <v>276</v>
      </c>
      <c r="G105" s="14">
        <v>3</v>
      </c>
      <c r="H105" s="14">
        <v>9</v>
      </c>
      <c r="I105" s="14" t="s">
        <v>711</v>
      </c>
      <c r="J105" s="96">
        <v>186949373</v>
      </c>
      <c r="K105" s="96">
        <v>0</v>
      </c>
      <c r="L105" s="96">
        <v>0</v>
      </c>
      <c r="M105" s="96">
        <v>41515606</v>
      </c>
      <c r="N105" s="96">
        <v>0</v>
      </c>
      <c r="O105" s="96">
        <v>147370227</v>
      </c>
      <c r="P105" s="96">
        <v>33688091</v>
      </c>
      <c r="Q105" s="104">
        <v>409523297</v>
      </c>
      <c r="R105" s="96">
        <v>6410442</v>
      </c>
      <c r="S105" s="96">
        <v>0</v>
      </c>
      <c r="T105" s="96">
        <v>0</v>
      </c>
      <c r="U105" s="96">
        <v>0</v>
      </c>
      <c r="V105" s="96">
        <v>852821374</v>
      </c>
      <c r="W105" s="96">
        <v>630556555</v>
      </c>
      <c r="X105" s="104">
        <v>222264819</v>
      </c>
      <c r="Y105" s="96">
        <v>86215435</v>
      </c>
      <c r="Z105" s="104">
        <v>314890696</v>
      </c>
      <c r="AA105" s="104">
        <v>724413993</v>
      </c>
      <c r="AB105" s="96">
        <v>11636293</v>
      </c>
      <c r="AC105" s="96">
        <v>13998932</v>
      </c>
      <c r="AD105" s="96">
        <v>0</v>
      </c>
      <c r="AE105" s="96">
        <v>121078768</v>
      </c>
      <c r="AF105" s="104">
        <v>146713993</v>
      </c>
      <c r="AG105" s="96">
        <v>50883823</v>
      </c>
      <c r="AH105" s="96">
        <v>0</v>
      </c>
      <c r="AI105" s="96">
        <v>231267788</v>
      </c>
      <c r="AJ105" s="104">
        <v>282151611</v>
      </c>
      <c r="AK105" s="104">
        <v>428865604</v>
      </c>
      <c r="AL105" s="96">
        <v>286939778</v>
      </c>
      <c r="AM105" s="96">
        <v>0</v>
      </c>
      <c r="AN105" s="96">
        <v>8608611</v>
      </c>
      <c r="AO105" s="104">
        <v>295548389</v>
      </c>
      <c r="AP105" s="104">
        <v>724413993</v>
      </c>
      <c r="AQ105" s="96">
        <v>347557484</v>
      </c>
      <c r="AR105" s="96">
        <v>78173849</v>
      </c>
      <c r="AS105" s="96">
        <v>365947259</v>
      </c>
      <c r="AT105" s="96">
        <v>0</v>
      </c>
      <c r="AU105" s="96">
        <v>0</v>
      </c>
      <c r="AV105" s="96">
        <v>0</v>
      </c>
      <c r="AW105" s="104">
        <v>791678592</v>
      </c>
      <c r="AX105" s="96">
        <v>10680321</v>
      </c>
      <c r="AY105" s="96">
        <v>32895523</v>
      </c>
      <c r="AZ105" s="96"/>
      <c r="BA105" s="96">
        <v>6503375</v>
      </c>
      <c r="BB105" s="96">
        <v>0</v>
      </c>
      <c r="BC105" s="104">
        <v>50079219</v>
      </c>
      <c r="BD105" s="104">
        <v>841757811</v>
      </c>
      <c r="BE105" s="96">
        <v>505713850</v>
      </c>
      <c r="BF105" s="96">
        <v>5659884</v>
      </c>
      <c r="BG105" s="96">
        <v>31849885</v>
      </c>
      <c r="BH105" s="96">
        <v>1734404</v>
      </c>
      <c r="BI105" s="96">
        <v>2489394</v>
      </c>
      <c r="BJ105" s="96">
        <v>277362076</v>
      </c>
      <c r="BK105" s="96">
        <v>0</v>
      </c>
      <c r="BL105" s="104">
        <v>824809493</v>
      </c>
      <c r="BM105" s="104">
        <v>16948318</v>
      </c>
      <c r="BN105" s="96">
        <v>0</v>
      </c>
      <c r="BO105" s="96">
        <v>0</v>
      </c>
      <c r="BP105" s="96">
        <v>16948318</v>
      </c>
      <c r="BQ105" s="96">
        <v>0</v>
      </c>
      <c r="BR105" s="96">
        <v>0</v>
      </c>
      <c r="BS105" s="104">
        <v>16948318</v>
      </c>
      <c r="BT105" s="109">
        <v>-3.9E-2</v>
      </c>
      <c r="BU105" s="109">
        <v>5.8999999999999997E-2</v>
      </c>
      <c r="BV105" s="109">
        <v>0.02</v>
      </c>
      <c r="BW105" s="106">
        <v>2.8</v>
      </c>
      <c r="BX105" s="107">
        <v>33</v>
      </c>
      <c r="BY105" s="107">
        <v>46</v>
      </c>
      <c r="BZ105" s="108">
        <v>3.8</v>
      </c>
      <c r="CA105" s="109">
        <v>0.247</v>
      </c>
      <c r="CB105" s="109">
        <v>0.40799999999999997</v>
      </c>
      <c r="CC105" s="110">
        <v>20</v>
      </c>
      <c r="CD105" s="110"/>
      <c r="CE105" s="110"/>
      <c r="CF105" s="104">
        <v>-6123036</v>
      </c>
      <c r="CG105" s="109">
        <v>-1.2729999999999999</v>
      </c>
      <c r="CH105" s="109">
        <v>0</v>
      </c>
      <c r="CI105" s="109">
        <v>-1.2729999999999999</v>
      </c>
    </row>
    <row r="106" spans="1:87" s="222" customFormat="1" ht="22.8" x14ac:dyDescent="0.3">
      <c r="A106" s="57">
        <v>13198</v>
      </c>
      <c r="B106" s="57" t="s">
        <v>119</v>
      </c>
      <c r="C106" s="57" t="s">
        <v>83</v>
      </c>
      <c r="D106" s="57">
        <v>14287</v>
      </c>
      <c r="E106" s="57">
        <v>2025</v>
      </c>
      <c r="F106" s="57" t="s">
        <v>275</v>
      </c>
      <c r="G106" s="57">
        <v>2</v>
      </c>
      <c r="H106" s="57">
        <v>6</v>
      </c>
      <c r="I106" s="57" t="s">
        <v>709</v>
      </c>
      <c r="J106" s="100">
        <v>0</v>
      </c>
      <c r="K106" s="100">
        <v>0</v>
      </c>
      <c r="L106" s="100">
        <v>0</v>
      </c>
      <c r="M106" s="100">
        <v>0</v>
      </c>
      <c r="N106" s="100">
        <v>0</v>
      </c>
      <c r="O106" s="100">
        <v>0</v>
      </c>
      <c r="P106" s="100">
        <v>0</v>
      </c>
      <c r="Q106" s="104">
        <v>0</v>
      </c>
      <c r="R106" s="100">
        <v>0</v>
      </c>
      <c r="S106" s="100">
        <v>0</v>
      </c>
      <c r="T106" s="100">
        <v>0</v>
      </c>
      <c r="U106" s="100">
        <v>0</v>
      </c>
      <c r="V106" s="100">
        <v>0</v>
      </c>
      <c r="W106" s="100">
        <v>0</v>
      </c>
      <c r="X106" s="104">
        <v>0</v>
      </c>
      <c r="Y106" s="100">
        <v>0</v>
      </c>
      <c r="Z106" s="104">
        <v>0</v>
      </c>
      <c r="AA106" s="104">
        <v>0</v>
      </c>
      <c r="AB106" s="100">
        <v>0</v>
      </c>
      <c r="AC106" s="100">
        <v>0</v>
      </c>
      <c r="AD106" s="100">
        <v>0</v>
      </c>
      <c r="AE106" s="100">
        <v>0</v>
      </c>
      <c r="AF106" s="104">
        <v>0</v>
      </c>
      <c r="AG106" s="100">
        <v>0</v>
      </c>
      <c r="AH106" s="100">
        <v>0</v>
      </c>
      <c r="AI106" s="100">
        <v>0</v>
      </c>
      <c r="AJ106" s="104">
        <v>0</v>
      </c>
      <c r="AK106" s="104">
        <v>0</v>
      </c>
      <c r="AL106" s="100">
        <v>0</v>
      </c>
      <c r="AM106" s="100">
        <v>0</v>
      </c>
      <c r="AN106" s="100">
        <v>0</v>
      </c>
      <c r="AO106" s="104">
        <v>0</v>
      </c>
      <c r="AP106" s="104">
        <v>0</v>
      </c>
      <c r="AQ106" s="100">
        <v>41353</v>
      </c>
      <c r="AR106" s="100">
        <v>0</v>
      </c>
      <c r="AS106" s="100">
        <v>180284</v>
      </c>
      <c r="AT106" s="100">
        <v>0</v>
      </c>
      <c r="AU106" s="100">
        <v>0</v>
      </c>
      <c r="AV106" s="100">
        <v>0</v>
      </c>
      <c r="AW106" s="104">
        <v>221637</v>
      </c>
      <c r="AX106" s="100">
        <v>0</v>
      </c>
      <c r="AY106" s="100">
        <v>0</v>
      </c>
      <c r="AZ106" s="100">
        <v>0</v>
      </c>
      <c r="BA106" s="100">
        <v>0</v>
      </c>
      <c r="BB106" s="100">
        <v>0</v>
      </c>
      <c r="BC106" s="104">
        <v>0</v>
      </c>
      <c r="BD106" s="104">
        <v>221637</v>
      </c>
      <c r="BE106" s="100">
        <v>301609</v>
      </c>
      <c r="BF106" s="100">
        <v>0</v>
      </c>
      <c r="BG106" s="100">
        <v>0</v>
      </c>
      <c r="BH106" s="100">
        <v>0</v>
      </c>
      <c r="BI106" s="100">
        <v>0</v>
      </c>
      <c r="BJ106" s="100">
        <v>19484</v>
      </c>
      <c r="BK106" s="100">
        <v>0</v>
      </c>
      <c r="BL106" s="104">
        <v>321093</v>
      </c>
      <c r="BM106" s="104">
        <v>-99456</v>
      </c>
      <c r="BN106" s="100">
        <v>0</v>
      </c>
      <c r="BO106" s="100">
        <v>0</v>
      </c>
      <c r="BP106" s="100">
        <v>-99456</v>
      </c>
      <c r="BQ106" s="100">
        <v>0</v>
      </c>
      <c r="BR106" s="100">
        <v>0</v>
      </c>
      <c r="BS106" s="104">
        <v>-99456</v>
      </c>
      <c r="BT106" s="105">
        <v>-0.44900000000000001</v>
      </c>
      <c r="BU106" s="105">
        <v>0</v>
      </c>
      <c r="BV106" s="105">
        <v>-0.44900000000000001</v>
      </c>
      <c r="BW106" s="106">
        <v>0</v>
      </c>
      <c r="BX106" s="107">
        <v>0</v>
      </c>
      <c r="BY106" s="107">
        <v>0</v>
      </c>
      <c r="BZ106" s="108">
        <v>0</v>
      </c>
      <c r="CA106" s="109">
        <v>0</v>
      </c>
      <c r="CB106" s="109">
        <v>0</v>
      </c>
      <c r="CC106" s="110">
        <v>0</v>
      </c>
      <c r="CD106" s="111">
        <v>0</v>
      </c>
      <c r="CE106" s="109">
        <v>0</v>
      </c>
      <c r="CF106" s="104">
        <v>0</v>
      </c>
      <c r="CG106" s="109">
        <v>0</v>
      </c>
      <c r="CH106" s="109">
        <v>22243554</v>
      </c>
      <c r="CI106" s="109">
        <v>6.2E-2</v>
      </c>
    </row>
    <row r="107" spans="1:87" s="222" customFormat="1" ht="22.8" x14ac:dyDescent="0.3">
      <c r="A107" s="57">
        <v>14286</v>
      </c>
      <c r="B107" s="57" t="s">
        <v>113</v>
      </c>
      <c r="C107" s="57" t="s">
        <v>75</v>
      </c>
      <c r="D107" s="57">
        <v>14286</v>
      </c>
      <c r="E107" s="57">
        <v>2025</v>
      </c>
      <c r="F107" s="57" t="s">
        <v>275</v>
      </c>
      <c r="G107" s="57">
        <v>2</v>
      </c>
      <c r="H107" s="57">
        <v>6</v>
      </c>
      <c r="I107" s="57" t="s">
        <v>709</v>
      </c>
      <c r="J107" s="100">
        <v>223911000</v>
      </c>
      <c r="K107" s="100">
        <v>0</v>
      </c>
      <c r="L107" s="100">
        <v>0</v>
      </c>
      <c r="M107" s="100">
        <v>606875000</v>
      </c>
      <c r="N107" s="100">
        <v>0</v>
      </c>
      <c r="O107" s="100">
        <v>30671000</v>
      </c>
      <c r="P107" s="100">
        <v>341140000</v>
      </c>
      <c r="Q107" s="104">
        <v>1202597000</v>
      </c>
      <c r="R107" s="100">
        <v>3355045000</v>
      </c>
      <c r="S107" s="100">
        <v>50575000</v>
      </c>
      <c r="T107" s="100">
        <v>0</v>
      </c>
      <c r="U107" s="100">
        <v>0</v>
      </c>
      <c r="V107" s="100">
        <v>6168456000</v>
      </c>
      <c r="W107" s="100">
        <v>2816757000</v>
      </c>
      <c r="X107" s="104">
        <v>3351699000</v>
      </c>
      <c r="Y107" s="100">
        <v>4431598000</v>
      </c>
      <c r="Z107" s="104">
        <v>11188917000</v>
      </c>
      <c r="AA107" s="104">
        <v>12391514000</v>
      </c>
      <c r="AB107" s="100">
        <v>425000</v>
      </c>
      <c r="AC107" s="100">
        <v>9597000</v>
      </c>
      <c r="AD107" s="100">
        <v>0</v>
      </c>
      <c r="AE107" s="100">
        <v>760843000</v>
      </c>
      <c r="AF107" s="104">
        <v>770865000</v>
      </c>
      <c r="AG107" s="100">
        <v>2047157000</v>
      </c>
      <c r="AH107" s="100">
        <v>0</v>
      </c>
      <c r="AI107" s="100">
        <v>1027962000</v>
      </c>
      <c r="AJ107" s="104">
        <v>3075119000</v>
      </c>
      <c r="AK107" s="104">
        <v>3845984000</v>
      </c>
      <c r="AL107" s="100">
        <v>7677458000</v>
      </c>
      <c r="AM107" s="100">
        <v>508085000</v>
      </c>
      <c r="AN107" s="100">
        <v>359987000</v>
      </c>
      <c r="AO107" s="104">
        <v>8545530000</v>
      </c>
      <c r="AP107" s="104">
        <v>12391514000</v>
      </c>
      <c r="AQ107" s="100">
        <v>1754003000</v>
      </c>
      <c r="AR107" s="100">
        <v>0</v>
      </c>
      <c r="AS107" s="100">
        <v>370087000</v>
      </c>
      <c r="AT107" s="100">
        <v>0</v>
      </c>
      <c r="AU107" s="100">
        <v>0</v>
      </c>
      <c r="AV107" s="100">
        <v>43578000</v>
      </c>
      <c r="AW107" s="104">
        <v>2167668000</v>
      </c>
      <c r="AX107" s="100">
        <v>277408000</v>
      </c>
      <c r="AY107" s="100">
        <v>12489000</v>
      </c>
      <c r="AZ107" s="100">
        <v>-245832000</v>
      </c>
      <c r="BA107" s="100">
        <v>-2380000</v>
      </c>
      <c r="BB107" s="100">
        <v>59381000</v>
      </c>
      <c r="BC107" s="104">
        <v>101066000</v>
      </c>
      <c r="BD107" s="104">
        <v>2268734000</v>
      </c>
      <c r="BE107" s="100">
        <v>1250586000</v>
      </c>
      <c r="BF107" s="100">
        <v>0</v>
      </c>
      <c r="BG107" s="100">
        <v>104491000</v>
      </c>
      <c r="BH107" s="100">
        <v>20143000</v>
      </c>
      <c r="BI107" s="100">
        <v>36302000</v>
      </c>
      <c r="BJ107" s="100">
        <v>809725000</v>
      </c>
      <c r="BK107" s="100">
        <v>0</v>
      </c>
      <c r="BL107" s="104">
        <v>2221247000</v>
      </c>
      <c r="BM107" s="104">
        <v>47487000</v>
      </c>
      <c r="BN107" s="100">
        <v>14000</v>
      </c>
      <c r="BO107" s="100">
        <v>127000</v>
      </c>
      <c r="BP107" s="100">
        <v>47628000</v>
      </c>
      <c r="BQ107" s="100">
        <v>1795000</v>
      </c>
      <c r="BR107" s="100">
        <v>0</v>
      </c>
      <c r="BS107" s="104">
        <v>49423000</v>
      </c>
      <c r="BT107" s="105">
        <v>-2.4E-2</v>
      </c>
      <c r="BU107" s="105">
        <v>4.4999999999999998E-2</v>
      </c>
      <c r="BV107" s="105">
        <v>2.1000000000000001E-2</v>
      </c>
      <c r="BW107" s="106">
        <v>1.6</v>
      </c>
      <c r="BX107" s="107">
        <v>63</v>
      </c>
      <c r="BY107" s="107">
        <v>66</v>
      </c>
      <c r="BZ107" s="108">
        <v>8.4</v>
      </c>
      <c r="CA107" s="109">
        <v>5.3999999999999999E-2</v>
      </c>
      <c r="CB107" s="109">
        <v>0.69</v>
      </c>
      <c r="CC107" s="110">
        <v>27</v>
      </c>
      <c r="CD107" s="111">
        <v>19</v>
      </c>
      <c r="CE107" s="109">
        <v>0.21099999999999999</v>
      </c>
      <c r="CF107" s="104">
        <v>0</v>
      </c>
      <c r="CG107" s="109">
        <v>0</v>
      </c>
      <c r="CH107" s="109">
        <v>-13324269</v>
      </c>
      <c r="CI107" s="109">
        <v>-5.7000000000000002E-2</v>
      </c>
    </row>
    <row r="108" spans="1:87" s="222" customFormat="1" ht="22.8" x14ac:dyDescent="0.3">
      <c r="A108" s="57">
        <v>14287</v>
      </c>
      <c r="B108" s="57" t="s">
        <v>117</v>
      </c>
      <c r="C108" s="57" t="s">
        <v>75</v>
      </c>
      <c r="D108" s="57">
        <v>14287</v>
      </c>
      <c r="E108" s="57">
        <v>2025</v>
      </c>
      <c r="F108" s="57" t="s">
        <v>275</v>
      </c>
      <c r="G108" s="57">
        <v>2</v>
      </c>
      <c r="H108" s="57">
        <v>6</v>
      </c>
      <c r="I108" s="57" t="s">
        <v>709</v>
      </c>
      <c r="J108" s="100">
        <v>322799613</v>
      </c>
      <c r="K108" s="100">
        <v>0</v>
      </c>
      <c r="L108" s="100">
        <v>42959000</v>
      </c>
      <c r="M108" s="100">
        <v>320062158</v>
      </c>
      <c r="N108" s="100">
        <v>0</v>
      </c>
      <c r="O108" s="100">
        <v>5715291</v>
      </c>
      <c r="P108" s="100">
        <v>1051753907</v>
      </c>
      <c r="Q108" s="104">
        <v>1743289969</v>
      </c>
      <c r="R108" s="100">
        <v>964890179</v>
      </c>
      <c r="S108" s="100">
        <v>16721749</v>
      </c>
      <c r="T108" s="100">
        <v>0</v>
      </c>
      <c r="U108" s="100">
        <v>0</v>
      </c>
      <c r="V108" s="100">
        <v>2660731904</v>
      </c>
      <c r="W108" s="100">
        <v>1469952642</v>
      </c>
      <c r="X108" s="104">
        <v>1190779262</v>
      </c>
      <c r="Y108" s="100">
        <v>1127808280</v>
      </c>
      <c r="Z108" s="104">
        <v>3300199470</v>
      </c>
      <c r="AA108" s="104">
        <v>5043489439</v>
      </c>
      <c r="AB108" s="100">
        <v>10013578</v>
      </c>
      <c r="AC108" s="100">
        <v>0</v>
      </c>
      <c r="AD108" s="100">
        <v>0</v>
      </c>
      <c r="AE108" s="100">
        <v>1657818301</v>
      </c>
      <c r="AF108" s="104">
        <v>1667831879</v>
      </c>
      <c r="AG108" s="100">
        <v>908003594</v>
      </c>
      <c r="AH108" s="100">
        <v>0</v>
      </c>
      <c r="AI108" s="100">
        <v>406095817</v>
      </c>
      <c r="AJ108" s="104">
        <v>1314099411</v>
      </c>
      <c r="AK108" s="104">
        <v>2981931290</v>
      </c>
      <c r="AL108" s="100">
        <v>1652405506</v>
      </c>
      <c r="AM108" s="100">
        <v>0</v>
      </c>
      <c r="AN108" s="100">
        <v>409152643</v>
      </c>
      <c r="AO108" s="104">
        <v>2061558149</v>
      </c>
      <c r="AP108" s="104">
        <v>5043489439</v>
      </c>
      <c r="AQ108" s="100">
        <v>1069376851</v>
      </c>
      <c r="AR108" s="100">
        <v>0</v>
      </c>
      <c r="AS108" s="100">
        <v>3130830956</v>
      </c>
      <c r="AT108" s="100">
        <v>0</v>
      </c>
      <c r="AU108" s="100">
        <v>0</v>
      </c>
      <c r="AV108" s="100">
        <v>16480236</v>
      </c>
      <c r="AW108" s="104">
        <v>4216688043</v>
      </c>
      <c r="AX108" s="100">
        <v>37258302</v>
      </c>
      <c r="AY108" s="100">
        <v>4996244</v>
      </c>
      <c r="AZ108" s="100">
        <v>-23521488</v>
      </c>
      <c r="BA108" s="100">
        <v>913900</v>
      </c>
      <c r="BB108" s="100">
        <v>0</v>
      </c>
      <c r="BC108" s="104">
        <v>19646958</v>
      </c>
      <c r="BD108" s="104">
        <v>4236335001</v>
      </c>
      <c r="BE108" s="100">
        <v>1153889431</v>
      </c>
      <c r="BF108" s="100">
        <v>0</v>
      </c>
      <c r="BG108" s="100">
        <v>63971252</v>
      </c>
      <c r="BH108" s="100">
        <v>12185137</v>
      </c>
      <c r="BI108" s="100">
        <v>70392633</v>
      </c>
      <c r="BJ108" s="100">
        <v>3090511975</v>
      </c>
      <c r="BK108" s="100">
        <v>0</v>
      </c>
      <c r="BL108" s="104">
        <v>4390950428</v>
      </c>
      <c r="BM108" s="104">
        <v>-154615427</v>
      </c>
      <c r="BN108" s="100">
        <v>0</v>
      </c>
      <c r="BO108" s="100">
        <v>0</v>
      </c>
      <c r="BP108" s="100">
        <v>-154615427</v>
      </c>
      <c r="BQ108" s="100">
        <v>0</v>
      </c>
      <c r="BR108" s="100">
        <v>0</v>
      </c>
      <c r="BS108" s="104">
        <v>-154615427</v>
      </c>
      <c r="BT108" s="105">
        <v>-4.1000000000000002E-2</v>
      </c>
      <c r="BU108" s="105">
        <v>5.0000000000000001E-3</v>
      </c>
      <c r="BV108" s="105">
        <v>-3.5999999999999997E-2</v>
      </c>
      <c r="BW108" s="106">
        <v>1</v>
      </c>
      <c r="BX108" s="107">
        <v>55</v>
      </c>
      <c r="BY108" s="107">
        <v>70</v>
      </c>
      <c r="BZ108" s="108">
        <v>-2.5</v>
      </c>
      <c r="CA108" s="109">
        <v>-2.5999999999999999E-2</v>
      </c>
      <c r="CB108" s="109">
        <v>0.40899999999999997</v>
      </c>
      <c r="CC108" s="110">
        <v>23</v>
      </c>
      <c r="CD108" s="111">
        <v>14</v>
      </c>
      <c r="CE108" s="109">
        <v>0.35499999999999998</v>
      </c>
      <c r="CF108" s="104">
        <v>0</v>
      </c>
      <c r="CG108" s="109">
        <v>0</v>
      </c>
      <c r="CH108" s="109">
        <v>5386908</v>
      </c>
      <c r="CI108" s="109">
        <v>3.5999999999999997E-2</v>
      </c>
    </row>
    <row r="109" spans="1:87" s="222" customFormat="1" ht="22.8" x14ac:dyDescent="0.3">
      <c r="A109" s="57">
        <v>14288</v>
      </c>
      <c r="B109" s="57" t="s">
        <v>183</v>
      </c>
      <c r="C109" s="57" t="s">
        <v>75</v>
      </c>
      <c r="D109" s="57">
        <v>14288</v>
      </c>
      <c r="E109" s="57">
        <v>2025</v>
      </c>
      <c r="F109" s="57" t="s">
        <v>276</v>
      </c>
      <c r="G109" s="57">
        <v>3</v>
      </c>
      <c r="H109" s="57">
        <v>9</v>
      </c>
      <c r="I109" s="57" t="s">
        <v>711</v>
      </c>
      <c r="J109" s="100">
        <v>482619469</v>
      </c>
      <c r="K109" s="100">
        <v>5280001239</v>
      </c>
      <c r="L109" s="100">
        <v>439577532</v>
      </c>
      <c r="M109" s="100">
        <v>2943820323</v>
      </c>
      <c r="N109" s="100">
        <v>0</v>
      </c>
      <c r="O109" s="100">
        <v>434302764</v>
      </c>
      <c r="P109" s="100">
        <v>2184329098</v>
      </c>
      <c r="Q109" s="104">
        <v>11764650425</v>
      </c>
      <c r="R109" s="100">
        <v>10762500189</v>
      </c>
      <c r="S109" s="100">
        <v>24041169</v>
      </c>
      <c r="T109" s="100">
        <v>0</v>
      </c>
      <c r="U109" s="100">
        <v>544299371</v>
      </c>
      <c r="V109" s="100">
        <v>21021642949</v>
      </c>
      <c r="W109" s="100">
        <v>12109996007</v>
      </c>
      <c r="X109" s="104">
        <v>8911646942</v>
      </c>
      <c r="Y109" s="100">
        <v>2143701018</v>
      </c>
      <c r="Z109" s="104">
        <v>22386188689</v>
      </c>
      <c r="AA109" s="104">
        <v>34150839114</v>
      </c>
      <c r="AB109" s="100">
        <v>1025924346</v>
      </c>
      <c r="AC109" s="100">
        <v>279729840</v>
      </c>
      <c r="AD109" s="100">
        <v>0</v>
      </c>
      <c r="AE109" s="100">
        <v>4081325567</v>
      </c>
      <c r="AF109" s="104">
        <v>5386979753</v>
      </c>
      <c r="AG109" s="100">
        <v>6373822702</v>
      </c>
      <c r="AH109" s="100">
        <v>0</v>
      </c>
      <c r="AI109" s="100">
        <v>2633175666</v>
      </c>
      <c r="AJ109" s="104">
        <v>9006998368</v>
      </c>
      <c r="AK109" s="104">
        <v>14393978121</v>
      </c>
      <c r="AL109" s="100">
        <v>19053879408</v>
      </c>
      <c r="AM109" s="100">
        <v>444166008</v>
      </c>
      <c r="AN109" s="100">
        <v>258815577</v>
      </c>
      <c r="AO109" s="104">
        <v>19756860993</v>
      </c>
      <c r="AP109" s="104">
        <v>34150839114</v>
      </c>
      <c r="AQ109" s="100">
        <v>16241275145</v>
      </c>
      <c r="AR109" s="100">
        <v>51987396</v>
      </c>
      <c r="AS109" s="100">
        <v>2679345079</v>
      </c>
      <c r="AT109" s="100">
        <v>20756936</v>
      </c>
      <c r="AU109" s="100">
        <v>82500</v>
      </c>
      <c r="AV109" s="100">
        <v>22907554</v>
      </c>
      <c r="AW109" s="104">
        <v>19016354610</v>
      </c>
      <c r="AX109" s="100">
        <v>398592807</v>
      </c>
      <c r="AY109" s="100">
        <v>0</v>
      </c>
      <c r="AZ109" s="100"/>
      <c r="BA109" s="100">
        <v>-99404163</v>
      </c>
      <c r="BB109" s="100">
        <v>0</v>
      </c>
      <c r="BC109" s="104">
        <v>527491194</v>
      </c>
      <c r="BD109" s="104">
        <v>19543845804</v>
      </c>
      <c r="BE109" s="100">
        <v>10170291525</v>
      </c>
      <c r="BF109" s="100">
        <v>787115409</v>
      </c>
      <c r="BG109" s="100">
        <v>666358570</v>
      </c>
      <c r="BH109" s="100">
        <v>197328836</v>
      </c>
      <c r="BI109" s="100">
        <v>9074640</v>
      </c>
      <c r="BJ109" s="100">
        <v>6988305927</v>
      </c>
      <c r="BK109" s="100">
        <v>0</v>
      </c>
      <c r="BL109" s="104">
        <v>18818474907</v>
      </c>
      <c r="BM109" s="104">
        <v>725370897</v>
      </c>
      <c r="BN109" s="100">
        <v>0</v>
      </c>
      <c r="BO109" s="100">
        <v>49609204</v>
      </c>
      <c r="BP109" s="100">
        <v>774980101</v>
      </c>
      <c r="BQ109" s="100">
        <v>47737791</v>
      </c>
      <c r="BR109" s="100">
        <v>0</v>
      </c>
      <c r="BS109" s="104">
        <v>822717892</v>
      </c>
      <c r="BT109" s="109">
        <v>0.01</v>
      </c>
      <c r="BU109" s="109">
        <v>2.7E-2</v>
      </c>
      <c r="BV109" s="109">
        <v>3.6999999999999998E-2</v>
      </c>
      <c r="BW109" s="106">
        <v>2.2000000000000002</v>
      </c>
      <c r="BX109" s="107">
        <v>50</v>
      </c>
      <c r="BY109" s="107">
        <v>77</v>
      </c>
      <c r="BZ109" s="108">
        <v>1.3</v>
      </c>
      <c r="CA109" s="109">
        <v>0.11799999999999999</v>
      </c>
      <c r="CB109" s="109">
        <v>0.57899999999999996</v>
      </c>
      <c r="CC109" s="110">
        <v>18</v>
      </c>
      <c r="CD109" s="110"/>
      <c r="CE109" s="110"/>
      <c r="CF109" s="104">
        <v>2891000</v>
      </c>
      <c r="CG109" s="109">
        <v>3.3000000000000002E-2</v>
      </c>
      <c r="CH109" s="109">
        <v>1.0999999999999999E-2</v>
      </c>
      <c r="CI109" s="109">
        <v>4.3999999999999997E-2</v>
      </c>
    </row>
    <row r="110" spans="1:87" s="222" customFormat="1" ht="22.8" x14ac:dyDescent="0.3">
      <c r="A110" s="57">
        <v>14417</v>
      </c>
      <c r="B110" s="57" t="s">
        <v>278</v>
      </c>
      <c r="C110" s="57" t="s">
        <v>83</v>
      </c>
      <c r="D110" s="57">
        <v>4066</v>
      </c>
      <c r="E110" s="57">
        <v>2025</v>
      </c>
      <c r="F110" s="57" t="s">
        <v>275</v>
      </c>
      <c r="G110" s="57">
        <v>2</v>
      </c>
      <c r="H110" s="57">
        <v>6</v>
      </c>
      <c r="I110" s="57" t="s">
        <v>709</v>
      </c>
      <c r="J110" s="100">
        <v>0</v>
      </c>
      <c r="K110" s="100">
        <v>0</v>
      </c>
      <c r="L110" s="100">
        <v>0</v>
      </c>
      <c r="M110" s="100">
        <v>0</v>
      </c>
      <c r="N110" s="100">
        <v>0</v>
      </c>
      <c r="O110" s="100">
        <v>0</v>
      </c>
      <c r="P110" s="100">
        <v>0</v>
      </c>
      <c r="Q110" s="104">
        <v>0</v>
      </c>
      <c r="R110" s="100">
        <v>0</v>
      </c>
      <c r="S110" s="100">
        <v>0</v>
      </c>
      <c r="T110" s="100">
        <v>0</v>
      </c>
      <c r="U110" s="100">
        <v>0</v>
      </c>
      <c r="V110" s="100">
        <v>0</v>
      </c>
      <c r="W110" s="100">
        <v>0</v>
      </c>
      <c r="X110" s="104">
        <v>0</v>
      </c>
      <c r="Y110" s="100">
        <v>0</v>
      </c>
      <c r="Z110" s="104">
        <v>0</v>
      </c>
      <c r="AA110" s="104">
        <v>0</v>
      </c>
      <c r="AB110" s="100">
        <v>0</v>
      </c>
      <c r="AC110" s="100">
        <v>0</v>
      </c>
      <c r="AD110" s="100">
        <v>0</v>
      </c>
      <c r="AE110" s="100">
        <v>0</v>
      </c>
      <c r="AF110" s="104">
        <v>0</v>
      </c>
      <c r="AG110" s="100">
        <v>0</v>
      </c>
      <c r="AH110" s="100">
        <v>0</v>
      </c>
      <c r="AI110" s="100">
        <v>0</v>
      </c>
      <c r="AJ110" s="104">
        <v>0</v>
      </c>
      <c r="AK110" s="104">
        <v>0</v>
      </c>
      <c r="AL110" s="100">
        <v>0</v>
      </c>
      <c r="AM110" s="100">
        <v>0</v>
      </c>
      <c r="AN110" s="100">
        <v>0</v>
      </c>
      <c r="AO110" s="104">
        <v>0</v>
      </c>
      <c r="AP110" s="104">
        <v>0</v>
      </c>
      <c r="AQ110" s="100">
        <v>0</v>
      </c>
      <c r="AR110" s="100">
        <v>0</v>
      </c>
      <c r="AS110" s="100">
        <v>0</v>
      </c>
      <c r="AT110" s="100">
        <v>0</v>
      </c>
      <c r="AU110" s="100">
        <v>0</v>
      </c>
      <c r="AV110" s="100">
        <v>0</v>
      </c>
      <c r="AW110" s="104">
        <v>0</v>
      </c>
      <c r="AX110" s="100">
        <v>0</v>
      </c>
      <c r="AY110" s="100">
        <v>0</v>
      </c>
      <c r="AZ110" s="100">
        <v>0</v>
      </c>
      <c r="BA110" s="100">
        <v>0</v>
      </c>
      <c r="BB110" s="100">
        <v>0</v>
      </c>
      <c r="BC110" s="104">
        <v>0</v>
      </c>
      <c r="BD110" s="104">
        <v>0</v>
      </c>
      <c r="BE110" s="100">
        <v>0</v>
      </c>
      <c r="BF110" s="100">
        <v>0</v>
      </c>
      <c r="BG110" s="100">
        <v>0</v>
      </c>
      <c r="BH110" s="100">
        <v>0</v>
      </c>
      <c r="BI110" s="100">
        <v>0</v>
      </c>
      <c r="BJ110" s="100">
        <v>0</v>
      </c>
      <c r="BK110" s="100">
        <v>0</v>
      </c>
      <c r="BL110" s="104">
        <v>0</v>
      </c>
      <c r="BM110" s="104">
        <v>0</v>
      </c>
      <c r="BN110" s="100">
        <v>0</v>
      </c>
      <c r="BO110" s="100">
        <v>0</v>
      </c>
      <c r="BP110" s="100">
        <v>0</v>
      </c>
      <c r="BQ110" s="100">
        <v>0</v>
      </c>
      <c r="BR110" s="100">
        <v>0</v>
      </c>
      <c r="BS110" s="104">
        <v>0</v>
      </c>
      <c r="BT110" s="105">
        <v>0</v>
      </c>
      <c r="BU110" s="105">
        <v>0</v>
      </c>
      <c r="BV110" s="105">
        <v>0</v>
      </c>
      <c r="BW110" s="106">
        <v>0</v>
      </c>
      <c r="BX110" s="107">
        <v>0</v>
      </c>
      <c r="BY110" s="107">
        <v>0</v>
      </c>
      <c r="BZ110" s="108">
        <v>0</v>
      </c>
      <c r="CA110" s="109">
        <v>0</v>
      </c>
      <c r="CB110" s="109">
        <v>0</v>
      </c>
      <c r="CC110" s="110">
        <v>0</v>
      </c>
      <c r="CD110" s="111">
        <v>0</v>
      </c>
      <c r="CE110" s="109">
        <v>0</v>
      </c>
      <c r="CF110" s="104">
        <v>0</v>
      </c>
      <c r="CG110" s="109">
        <v>0</v>
      </c>
      <c r="CH110" s="109">
        <v>0</v>
      </c>
      <c r="CI110" s="109">
        <v>0</v>
      </c>
    </row>
    <row r="111" spans="1:87" s="222" customFormat="1" ht="22.8" x14ac:dyDescent="0.3">
      <c r="A111" s="14">
        <v>14418</v>
      </c>
      <c r="B111" s="14" t="s">
        <v>120</v>
      </c>
      <c r="C111" s="14" t="s">
        <v>83</v>
      </c>
      <c r="D111" s="14">
        <v>14287</v>
      </c>
      <c r="E111" s="14">
        <v>2025</v>
      </c>
      <c r="F111" s="14" t="s">
        <v>275</v>
      </c>
      <c r="G111" s="14">
        <v>2</v>
      </c>
      <c r="H111" s="14">
        <v>6</v>
      </c>
      <c r="I111" s="14" t="s">
        <v>709</v>
      </c>
      <c r="J111" s="96">
        <v>0</v>
      </c>
      <c r="K111" s="96">
        <v>0</v>
      </c>
      <c r="L111" s="96">
        <v>0</v>
      </c>
      <c r="M111" s="96">
        <v>0</v>
      </c>
      <c r="N111" s="96">
        <v>0</v>
      </c>
      <c r="O111" s="96">
        <v>0</v>
      </c>
      <c r="P111" s="96">
        <v>0</v>
      </c>
      <c r="Q111" s="104">
        <v>0</v>
      </c>
      <c r="R111" s="96">
        <v>0</v>
      </c>
      <c r="S111" s="96">
        <v>0</v>
      </c>
      <c r="T111" s="96">
        <v>0</v>
      </c>
      <c r="U111" s="96">
        <v>0</v>
      </c>
      <c r="V111" s="96">
        <v>0</v>
      </c>
      <c r="W111" s="96">
        <v>0</v>
      </c>
      <c r="X111" s="104">
        <v>0</v>
      </c>
      <c r="Y111" s="96">
        <v>0</v>
      </c>
      <c r="Z111" s="104">
        <v>0</v>
      </c>
      <c r="AA111" s="104">
        <v>0</v>
      </c>
      <c r="AB111" s="96">
        <v>0</v>
      </c>
      <c r="AC111" s="96">
        <v>0</v>
      </c>
      <c r="AD111" s="96">
        <v>0</v>
      </c>
      <c r="AE111" s="96">
        <v>0</v>
      </c>
      <c r="AF111" s="104">
        <v>0</v>
      </c>
      <c r="AG111" s="96">
        <v>0</v>
      </c>
      <c r="AH111" s="96">
        <v>0</v>
      </c>
      <c r="AI111" s="96">
        <v>0</v>
      </c>
      <c r="AJ111" s="104">
        <v>0</v>
      </c>
      <c r="AK111" s="104">
        <v>0</v>
      </c>
      <c r="AL111" s="96">
        <v>0</v>
      </c>
      <c r="AM111" s="96">
        <v>0</v>
      </c>
      <c r="AN111" s="96">
        <v>0</v>
      </c>
      <c r="AO111" s="104">
        <v>0</v>
      </c>
      <c r="AP111" s="104">
        <v>0</v>
      </c>
      <c r="AQ111" s="96">
        <v>105825808</v>
      </c>
      <c r="AR111" s="96">
        <v>0</v>
      </c>
      <c r="AS111" s="96">
        <v>170614207</v>
      </c>
      <c r="AT111" s="96">
        <v>0</v>
      </c>
      <c r="AU111" s="96">
        <v>0</v>
      </c>
      <c r="AV111" s="96">
        <v>0</v>
      </c>
      <c r="AW111" s="104">
        <v>276440015</v>
      </c>
      <c r="AX111" s="96">
        <v>4406553</v>
      </c>
      <c r="AY111" s="96">
        <v>0</v>
      </c>
      <c r="AZ111" s="96">
        <v>-4765573</v>
      </c>
      <c r="BA111" s="96">
        <v>-17000</v>
      </c>
      <c r="BB111" s="96">
        <v>0</v>
      </c>
      <c r="BC111" s="104">
        <v>-376020</v>
      </c>
      <c r="BD111" s="104">
        <v>276063995</v>
      </c>
      <c r="BE111" s="96">
        <v>248741904</v>
      </c>
      <c r="BF111" s="96">
        <v>0</v>
      </c>
      <c r="BG111" s="96">
        <v>284034</v>
      </c>
      <c r="BH111" s="96">
        <v>4853</v>
      </c>
      <c r="BI111" s="96">
        <v>0</v>
      </c>
      <c r="BJ111" s="96">
        <v>34813823</v>
      </c>
      <c r="BK111" s="96">
        <v>0</v>
      </c>
      <c r="BL111" s="104">
        <v>283844614</v>
      </c>
      <c r="BM111" s="104">
        <v>-7780619</v>
      </c>
      <c r="BN111" s="96">
        <v>8238449</v>
      </c>
      <c r="BO111" s="96">
        <v>0</v>
      </c>
      <c r="BP111" s="96">
        <v>457830</v>
      </c>
      <c r="BQ111" s="96">
        <v>0</v>
      </c>
      <c r="BR111" s="96">
        <v>0</v>
      </c>
      <c r="BS111" s="104">
        <v>457830</v>
      </c>
      <c r="BT111" s="105">
        <v>-2.7E-2</v>
      </c>
      <c r="BU111" s="105">
        <v>-1E-3</v>
      </c>
      <c r="BV111" s="105">
        <v>-2.8000000000000001E-2</v>
      </c>
      <c r="BW111" s="106">
        <v>0</v>
      </c>
      <c r="BX111" s="107">
        <v>0</v>
      </c>
      <c r="BY111" s="107">
        <v>0</v>
      </c>
      <c r="BZ111" s="108">
        <v>-1543.7</v>
      </c>
      <c r="CA111" s="109">
        <v>0</v>
      </c>
      <c r="CB111" s="109">
        <v>0</v>
      </c>
      <c r="CC111" s="110">
        <v>0</v>
      </c>
      <c r="CD111" s="111">
        <v>0</v>
      </c>
      <c r="CE111" s="109">
        <v>0</v>
      </c>
      <c r="CF111" s="104">
        <v>0</v>
      </c>
      <c r="CG111" s="109">
        <v>0</v>
      </c>
      <c r="CH111" s="109">
        <v>3079968</v>
      </c>
      <c r="CI111" s="109">
        <v>3.4000000000000002E-2</v>
      </c>
    </row>
    <row r="112" spans="1:87" s="222" customFormat="1" ht="22.8" x14ac:dyDescent="0.3">
      <c r="A112" s="57">
        <v>14420</v>
      </c>
      <c r="B112" s="57" t="s">
        <v>194</v>
      </c>
      <c r="C112" s="57" t="s">
        <v>83</v>
      </c>
      <c r="D112" s="57">
        <v>12775</v>
      </c>
      <c r="E112" s="57">
        <v>2025</v>
      </c>
      <c r="F112" s="57" t="s">
        <v>275</v>
      </c>
      <c r="G112" s="57">
        <v>2</v>
      </c>
      <c r="H112" s="57">
        <v>6</v>
      </c>
      <c r="I112" s="57" t="s">
        <v>709</v>
      </c>
      <c r="J112" s="100">
        <v>0</v>
      </c>
      <c r="K112" s="100">
        <v>0</v>
      </c>
      <c r="L112" s="100">
        <v>0</v>
      </c>
      <c r="M112" s="100">
        <v>0</v>
      </c>
      <c r="N112" s="100">
        <v>0</v>
      </c>
      <c r="O112" s="100">
        <v>0</v>
      </c>
      <c r="P112" s="100">
        <v>0</v>
      </c>
      <c r="Q112" s="104">
        <v>0</v>
      </c>
      <c r="R112" s="100">
        <v>0</v>
      </c>
      <c r="S112" s="100">
        <v>0</v>
      </c>
      <c r="T112" s="100">
        <v>0</v>
      </c>
      <c r="U112" s="100">
        <v>0</v>
      </c>
      <c r="V112" s="100">
        <v>0</v>
      </c>
      <c r="W112" s="100">
        <v>0</v>
      </c>
      <c r="X112" s="104">
        <v>0</v>
      </c>
      <c r="Y112" s="100">
        <v>0</v>
      </c>
      <c r="Z112" s="104">
        <v>0</v>
      </c>
      <c r="AA112" s="104">
        <v>0</v>
      </c>
      <c r="AB112" s="100">
        <v>0</v>
      </c>
      <c r="AC112" s="100">
        <v>0</v>
      </c>
      <c r="AD112" s="100">
        <v>0</v>
      </c>
      <c r="AE112" s="100">
        <v>0</v>
      </c>
      <c r="AF112" s="104">
        <v>0</v>
      </c>
      <c r="AG112" s="100">
        <v>0</v>
      </c>
      <c r="AH112" s="100">
        <v>0</v>
      </c>
      <c r="AI112" s="100">
        <v>0</v>
      </c>
      <c r="AJ112" s="104">
        <v>0</v>
      </c>
      <c r="AK112" s="104">
        <v>0</v>
      </c>
      <c r="AL112" s="100">
        <v>0</v>
      </c>
      <c r="AM112" s="100">
        <v>0</v>
      </c>
      <c r="AN112" s="100">
        <v>0</v>
      </c>
      <c r="AO112" s="104">
        <v>0</v>
      </c>
      <c r="AP112" s="104">
        <v>0</v>
      </c>
      <c r="AQ112" s="100">
        <v>37916000</v>
      </c>
      <c r="AR112" s="100">
        <v>0</v>
      </c>
      <c r="AS112" s="100">
        <v>7329000</v>
      </c>
      <c r="AT112" s="100">
        <v>0</v>
      </c>
      <c r="AU112" s="100">
        <v>0</v>
      </c>
      <c r="AV112" s="100">
        <v>0</v>
      </c>
      <c r="AW112" s="104">
        <v>45245000</v>
      </c>
      <c r="AX112" s="100">
        <v>0</v>
      </c>
      <c r="AY112" s="100">
        <v>0</v>
      </c>
      <c r="AZ112" s="100">
        <v>0</v>
      </c>
      <c r="BA112" s="100">
        <v>0</v>
      </c>
      <c r="BB112" s="100">
        <v>0</v>
      </c>
      <c r="BC112" s="104">
        <v>0</v>
      </c>
      <c r="BD112" s="104">
        <v>45245000</v>
      </c>
      <c r="BE112" s="100">
        <v>39046000</v>
      </c>
      <c r="BF112" s="100">
        <v>825000</v>
      </c>
      <c r="BG112" s="100">
        <v>183000</v>
      </c>
      <c r="BH112" s="100">
        <v>0</v>
      </c>
      <c r="BI112" s="100">
        <v>0</v>
      </c>
      <c r="BJ112" s="100">
        <v>15532000</v>
      </c>
      <c r="BK112" s="100">
        <v>0</v>
      </c>
      <c r="BL112" s="104">
        <v>55586000</v>
      </c>
      <c r="BM112" s="104">
        <v>-10341000</v>
      </c>
      <c r="BN112" s="100">
        <v>-13553000</v>
      </c>
      <c r="BO112" s="100">
        <v>0</v>
      </c>
      <c r="BP112" s="100">
        <v>-23894000</v>
      </c>
      <c r="BQ112" s="100">
        <v>0</v>
      </c>
      <c r="BR112" s="100">
        <v>0</v>
      </c>
      <c r="BS112" s="104">
        <v>-23894000</v>
      </c>
      <c r="BT112" s="105">
        <v>-0.22900000000000001</v>
      </c>
      <c r="BU112" s="105">
        <v>0</v>
      </c>
      <c r="BV112" s="105">
        <v>-0.22900000000000001</v>
      </c>
      <c r="BW112" s="106">
        <v>0</v>
      </c>
      <c r="BX112" s="107">
        <v>0</v>
      </c>
      <c r="BY112" s="107">
        <v>0</v>
      </c>
      <c r="BZ112" s="108">
        <v>0</v>
      </c>
      <c r="CA112" s="109">
        <v>0</v>
      </c>
      <c r="CB112" s="109">
        <v>0</v>
      </c>
      <c r="CC112" s="110">
        <v>0</v>
      </c>
      <c r="CD112" s="111">
        <v>0</v>
      </c>
      <c r="CE112" s="109">
        <v>0</v>
      </c>
      <c r="CF112" s="104">
        <v>1693000</v>
      </c>
      <c r="CG112" s="109">
        <v>0.01</v>
      </c>
      <c r="CH112" s="109">
        <v>1E-3</v>
      </c>
      <c r="CI112" s="109">
        <v>1.0999999999999999E-2</v>
      </c>
    </row>
    <row r="113" spans="1:87" s="222" customFormat="1" ht="22.8" x14ac:dyDescent="0.3">
      <c r="A113" s="57">
        <v>14421</v>
      </c>
      <c r="B113" s="57" t="s">
        <v>106</v>
      </c>
      <c r="C113" s="57" t="s">
        <v>83</v>
      </c>
      <c r="D113" s="57">
        <v>16665</v>
      </c>
      <c r="E113" s="57">
        <v>2025</v>
      </c>
      <c r="F113" s="57" t="s">
        <v>275</v>
      </c>
      <c r="G113" s="57">
        <v>2</v>
      </c>
      <c r="H113" s="57">
        <v>6</v>
      </c>
      <c r="I113" s="57" t="s">
        <v>709</v>
      </c>
      <c r="J113" s="100">
        <v>0</v>
      </c>
      <c r="K113" s="100">
        <v>0</v>
      </c>
      <c r="L113" s="100">
        <v>0</v>
      </c>
      <c r="M113" s="100">
        <v>0</v>
      </c>
      <c r="N113" s="100">
        <v>0</v>
      </c>
      <c r="O113" s="100">
        <v>0</v>
      </c>
      <c r="P113" s="100">
        <v>0</v>
      </c>
      <c r="Q113" s="104">
        <v>0</v>
      </c>
      <c r="R113" s="100">
        <v>0</v>
      </c>
      <c r="S113" s="100">
        <v>0</v>
      </c>
      <c r="T113" s="100">
        <v>0</v>
      </c>
      <c r="U113" s="100">
        <v>0</v>
      </c>
      <c r="V113" s="100">
        <v>0</v>
      </c>
      <c r="W113" s="100">
        <v>0</v>
      </c>
      <c r="X113" s="104">
        <v>0</v>
      </c>
      <c r="Y113" s="100">
        <v>0</v>
      </c>
      <c r="Z113" s="104">
        <v>0</v>
      </c>
      <c r="AA113" s="104">
        <v>0</v>
      </c>
      <c r="AB113" s="100">
        <v>0</v>
      </c>
      <c r="AC113" s="100">
        <v>0</v>
      </c>
      <c r="AD113" s="100">
        <v>0</v>
      </c>
      <c r="AE113" s="100">
        <v>0</v>
      </c>
      <c r="AF113" s="104">
        <v>0</v>
      </c>
      <c r="AG113" s="100">
        <v>0</v>
      </c>
      <c r="AH113" s="100">
        <v>0</v>
      </c>
      <c r="AI113" s="100">
        <v>0</v>
      </c>
      <c r="AJ113" s="104">
        <v>0</v>
      </c>
      <c r="AK113" s="104">
        <v>0</v>
      </c>
      <c r="AL113" s="100">
        <v>0</v>
      </c>
      <c r="AM113" s="100">
        <v>0</v>
      </c>
      <c r="AN113" s="100">
        <v>0</v>
      </c>
      <c r="AO113" s="104">
        <v>0</v>
      </c>
      <c r="AP113" s="104">
        <v>0</v>
      </c>
      <c r="AQ113" s="100">
        <v>165286000</v>
      </c>
      <c r="AR113" s="100">
        <v>0</v>
      </c>
      <c r="AS113" s="100">
        <v>22386000</v>
      </c>
      <c r="AT113" s="100">
        <v>0</v>
      </c>
      <c r="AU113" s="100">
        <v>0</v>
      </c>
      <c r="AV113" s="100">
        <v>0</v>
      </c>
      <c r="AW113" s="104">
        <v>187672000</v>
      </c>
      <c r="AX113" s="100">
        <v>-24000</v>
      </c>
      <c r="AY113" s="100">
        <v>0</v>
      </c>
      <c r="AZ113" s="100">
        <v>-86000</v>
      </c>
      <c r="BA113" s="100">
        <v>0</v>
      </c>
      <c r="BB113" s="100">
        <v>0</v>
      </c>
      <c r="BC113" s="104">
        <v>-110000</v>
      </c>
      <c r="BD113" s="104">
        <v>187562000</v>
      </c>
      <c r="BE113" s="100">
        <v>218723000</v>
      </c>
      <c r="BF113" s="100">
        <v>0</v>
      </c>
      <c r="BG113" s="100">
        <v>2550000</v>
      </c>
      <c r="BH113" s="100">
        <v>95000</v>
      </c>
      <c r="BI113" s="100">
        <v>0</v>
      </c>
      <c r="BJ113" s="100">
        <v>13991000</v>
      </c>
      <c r="BK113" s="100">
        <v>0</v>
      </c>
      <c r="BL113" s="104">
        <v>235359000</v>
      </c>
      <c r="BM113" s="104">
        <v>-47797000</v>
      </c>
      <c r="BN113" s="100">
        <v>48496000</v>
      </c>
      <c r="BO113" s="100">
        <v>0</v>
      </c>
      <c r="BP113" s="100">
        <v>699000</v>
      </c>
      <c r="BQ113" s="100">
        <v>0</v>
      </c>
      <c r="BR113" s="100">
        <v>0</v>
      </c>
      <c r="BS113" s="104">
        <v>699000</v>
      </c>
      <c r="BT113" s="105">
        <v>-0.254</v>
      </c>
      <c r="BU113" s="105">
        <v>-1E-3</v>
      </c>
      <c r="BV113" s="105">
        <v>-0.255</v>
      </c>
      <c r="BW113" s="106">
        <v>0</v>
      </c>
      <c r="BX113" s="107">
        <v>0</v>
      </c>
      <c r="BY113" s="107">
        <v>0</v>
      </c>
      <c r="BZ113" s="108">
        <v>-475.3</v>
      </c>
      <c r="CA113" s="109">
        <v>0</v>
      </c>
      <c r="CB113" s="109">
        <v>0</v>
      </c>
      <c r="CC113" s="110">
        <v>0</v>
      </c>
      <c r="CD113" s="111">
        <v>0</v>
      </c>
      <c r="CE113" s="109">
        <v>0</v>
      </c>
      <c r="CF113" s="104">
        <v>-643000</v>
      </c>
      <c r="CG113" s="109">
        <v>-0.04</v>
      </c>
      <c r="CH113" s="109">
        <v>3.4000000000000002E-2</v>
      </c>
      <c r="CI113" s="109">
        <v>-6.0000000000000001E-3</v>
      </c>
    </row>
    <row r="114" spans="1:87" s="222" customFormat="1" ht="22.8" x14ac:dyDescent="0.3">
      <c r="A114" s="57">
        <v>14422</v>
      </c>
      <c r="B114" s="57" t="s">
        <v>107</v>
      </c>
      <c r="C114" s="57" t="s">
        <v>83</v>
      </c>
      <c r="D114" s="57">
        <v>16665</v>
      </c>
      <c r="E114" s="57">
        <v>2025</v>
      </c>
      <c r="F114" s="57" t="s">
        <v>275</v>
      </c>
      <c r="G114" s="57">
        <v>2</v>
      </c>
      <c r="H114" s="57">
        <v>6</v>
      </c>
      <c r="I114" s="57" t="s">
        <v>709</v>
      </c>
      <c r="J114" s="100">
        <v>0</v>
      </c>
      <c r="K114" s="100">
        <v>0</v>
      </c>
      <c r="L114" s="100">
        <v>0</v>
      </c>
      <c r="M114" s="100">
        <v>0</v>
      </c>
      <c r="N114" s="100">
        <v>0</v>
      </c>
      <c r="O114" s="100">
        <v>0</v>
      </c>
      <c r="P114" s="100">
        <v>0</v>
      </c>
      <c r="Q114" s="104">
        <v>0</v>
      </c>
      <c r="R114" s="100">
        <v>0</v>
      </c>
      <c r="S114" s="100">
        <v>0</v>
      </c>
      <c r="T114" s="100">
        <v>0</v>
      </c>
      <c r="U114" s="100">
        <v>0</v>
      </c>
      <c r="V114" s="100">
        <v>0</v>
      </c>
      <c r="W114" s="100">
        <v>0</v>
      </c>
      <c r="X114" s="104">
        <v>0</v>
      </c>
      <c r="Y114" s="100">
        <v>0</v>
      </c>
      <c r="Z114" s="104">
        <v>0</v>
      </c>
      <c r="AA114" s="104">
        <v>0</v>
      </c>
      <c r="AB114" s="100">
        <v>0</v>
      </c>
      <c r="AC114" s="100">
        <v>0</v>
      </c>
      <c r="AD114" s="100">
        <v>0</v>
      </c>
      <c r="AE114" s="100">
        <v>0</v>
      </c>
      <c r="AF114" s="104">
        <v>0</v>
      </c>
      <c r="AG114" s="100">
        <v>0</v>
      </c>
      <c r="AH114" s="100">
        <v>0</v>
      </c>
      <c r="AI114" s="100">
        <v>0</v>
      </c>
      <c r="AJ114" s="104">
        <v>0</v>
      </c>
      <c r="AK114" s="104">
        <v>0</v>
      </c>
      <c r="AL114" s="100">
        <v>0</v>
      </c>
      <c r="AM114" s="100">
        <v>0</v>
      </c>
      <c r="AN114" s="100">
        <v>0</v>
      </c>
      <c r="AO114" s="104">
        <v>0</v>
      </c>
      <c r="AP114" s="104">
        <v>0</v>
      </c>
      <c r="AQ114" s="100">
        <v>24958000</v>
      </c>
      <c r="AR114" s="100">
        <v>0</v>
      </c>
      <c r="AS114" s="100">
        <v>118000</v>
      </c>
      <c r="AT114" s="100">
        <v>0</v>
      </c>
      <c r="AU114" s="100">
        <v>0</v>
      </c>
      <c r="AV114" s="100">
        <v>0</v>
      </c>
      <c r="AW114" s="104">
        <v>25076000</v>
      </c>
      <c r="AX114" s="100">
        <v>0</v>
      </c>
      <c r="AY114" s="100">
        <v>0</v>
      </c>
      <c r="AZ114" s="100">
        <v>0</v>
      </c>
      <c r="BA114" s="100">
        <v>-1000</v>
      </c>
      <c r="BB114" s="100">
        <v>0</v>
      </c>
      <c r="BC114" s="104">
        <v>-1000</v>
      </c>
      <c r="BD114" s="104">
        <v>25075000</v>
      </c>
      <c r="BE114" s="100">
        <v>25897000</v>
      </c>
      <c r="BF114" s="100">
        <v>0</v>
      </c>
      <c r="BG114" s="100">
        <v>394000</v>
      </c>
      <c r="BH114" s="100">
        <v>0</v>
      </c>
      <c r="BI114" s="100">
        <v>0</v>
      </c>
      <c r="BJ114" s="100">
        <v>11372000</v>
      </c>
      <c r="BK114" s="100">
        <v>0</v>
      </c>
      <c r="BL114" s="104">
        <v>37663000</v>
      </c>
      <c r="BM114" s="104">
        <v>-12588000</v>
      </c>
      <c r="BN114" s="100">
        <v>0</v>
      </c>
      <c r="BO114" s="100">
        <v>0</v>
      </c>
      <c r="BP114" s="100">
        <v>-12588000</v>
      </c>
      <c r="BQ114" s="100">
        <v>0</v>
      </c>
      <c r="BR114" s="100">
        <v>0</v>
      </c>
      <c r="BS114" s="104">
        <v>-12588000</v>
      </c>
      <c r="BT114" s="105">
        <v>-0.502</v>
      </c>
      <c r="BU114" s="105">
        <v>0</v>
      </c>
      <c r="BV114" s="105">
        <v>-0.502</v>
      </c>
      <c r="BW114" s="106">
        <v>0</v>
      </c>
      <c r="BX114" s="107">
        <v>0</v>
      </c>
      <c r="BY114" s="107">
        <v>0</v>
      </c>
      <c r="BZ114" s="108">
        <v>0</v>
      </c>
      <c r="CA114" s="109">
        <v>0</v>
      </c>
      <c r="CB114" s="109">
        <v>0</v>
      </c>
      <c r="CC114" s="110">
        <v>0</v>
      </c>
      <c r="CD114" s="111">
        <v>0</v>
      </c>
      <c r="CE114" s="109">
        <v>0</v>
      </c>
      <c r="CF114" s="104">
        <v>126000</v>
      </c>
      <c r="CG114" s="109">
        <v>-1.2999999999999999E-2</v>
      </c>
      <c r="CH114" s="109">
        <v>1.4E-2</v>
      </c>
      <c r="CI114" s="109">
        <v>1E-3</v>
      </c>
    </row>
    <row r="115" spans="1:87" s="222" customFormat="1" ht="22.8" x14ac:dyDescent="0.3">
      <c r="A115" s="14">
        <v>14423</v>
      </c>
      <c r="B115" s="14" t="s">
        <v>153</v>
      </c>
      <c r="C115" s="14" t="s">
        <v>83</v>
      </c>
      <c r="D115" s="14">
        <v>3791</v>
      </c>
      <c r="E115" s="14">
        <v>2025</v>
      </c>
      <c r="F115" s="14" t="s">
        <v>275</v>
      </c>
      <c r="G115" s="14">
        <v>2</v>
      </c>
      <c r="H115" s="14">
        <v>6</v>
      </c>
      <c r="I115" s="14" t="s">
        <v>709</v>
      </c>
      <c r="J115" s="96">
        <v>0</v>
      </c>
      <c r="K115" s="96">
        <v>0</v>
      </c>
      <c r="L115" s="96">
        <v>0</v>
      </c>
      <c r="M115" s="96">
        <v>0</v>
      </c>
      <c r="N115" s="96">
        <v>0</v>
      </c>
      <c r="O115" s="96">
        <v>0</v>
      </c>
      <c r="P115" s="96">
        <v>0</v>
      </c>
      <c r="Q115" s="104">
        <v>0</v>
      </c>
      <c r="R115" s="96">
        <v>0</v>
      </c>
      <c r="S115" s="96">
        <v>0</v>
      </c>
      <c r="T115" s="96">
        <v>0</v>
      </c>
      <c r="U115" s="96">
        <v>0</v>
      </c>
      <c r="V115" s="96">
        <v>0</v>
      </c>
      <c r="W115" s="96">
        <v>0</v>
      </c>
      <c r="X115" s="104">
        <v>0</v>
      </c>
      <c r="Y115" s="96">
        <v>0</v>
      </c>
      <c r="Z115" s="104">
        <v>0</v>
      </c>
      <c r="AA115" s="104">
        <v>0</v>
      </c>
      <c r="AB115" s="96">
        <v>0</v>
      </c>
      <c r="AC115" s="96">
        <v>0</v>
      </c>
      <c r="AD115" s="96">
        <v>0</v>
      </c>
      <c r="AE115" s="96">
        <v>0</v>
      </c>
      <c r="AF115" s="104">
        <v>0</v>
      </c>
      <c r="AG115" s="96">
        <v>0</v>
      </c>
      <c r="AH115" s="96">
        <v>0</v>
      </c>
      <c r="AI115" s="96">
        <v>0</v>
      </c>
      <c r="AJ115" s="104">
        <v>0</v>
      </c>
      <c r="AK115" s="104">
        <v>0</v>
      </c>
      <c r="AL115" s="96">
        <v>0</v>
      </c>
      <c r="AM115" s="96">
        <v>0</v>
      </c>
      <c r="AN115" s="96">
        <v>0</v>
      </c>
      <c r="AO115" s="104">
        <v>0</v>
      </c>
      <c r="AP115" s="104">
        <v>0</v>
      </c>
      <c r="AQ115" s="96">
        <v>89776000</v>
      </c>
      <c r="AR115" s="96">
        <v>0</v>
      </c>
      <c r="AS115" s="96">
        <v>13399000</v>
      </c>
      <c r="AT115" s="96">
        <v>0</v>
      </c>
      <c r="AU115" s="96">
        <v>0</v>
      </c>
      <c r="AV115" s="96">
        <v>0</v>
      </c>
      <c r="AW115" s="104">
        <v>103175000</v>
      </c>
      <c r="AX115" s="96">
        <v>1639000</v>
      </c>
      <c r="AY115" s="96">
        <v>0</v>
      </c>
      <c r="AZ115" s="96">
        <v>-1157000</v>
      </c>
      <c r="BA115" s="96">
        <v>0</v>
      </c>
      <c r="BB115" s="96">
        <v>359000</v>
      </c>
      <c r="BC115" s="104">
        <v>841000</v>
      </c>
      <c r="BD115" s="104">
        <v>104016000</v>
      </c>
      <c r="BE115" s="96">
        <v>88214000</v>
      </c>
      <c r="BF115" s="96">
        <v>0</v>
      </c>
      <c r="BG115" s="96">
        <v>475000</v>
      </c>
      <c r="BH115" s="96">
        <v>1000</v>
      </c>
      <c r="BI115" s="96">
        <v>0</v>
      </c>
      <c r="BJ115" s="96">
        <v>12866000</v>
      </c>
      <c r="BK115" s="96">
        <v>0</v>
      </c>
      <c r="BL115" s="104">
        <v>101556000</v>
      </c>
      <c r="BM115" s="104">
        <v>2460000</v>
      </c>
      <c r="BN115" s="96">
        <v>116000</v>
      </c>
      <c r="BO115" s="96">
        <v>0</v>
      </c>
      <c r="BP115" s="96">
        <v>2576000</v>
      </c>
      <c r="BQ115" s="96">
        <v>0</v>
      </c>
      <c r="BR115" s="96">
        <v>0</v>
      </c>
      <c r="BS115" s="104">
        <v>2576000</v>
      </c>
      <c r="BT115" s="105">
        <v>1.6E-2</v>
      </c>
      <c r="BU115" s="105">
        <v>8.0000000000000002E-3</v>
      </c>
      <c r="BV115" s="105">
        <v>2.4E-2</v>
      </c>
      <c r="BW115" s="106">
        <v>0</v>
      </c>
      <c r="BX115" s="107">
        <v>0</v>
      </c>
      <c r="BY115" s="107">
        <v>0</v>
      </c>
      <c r="BZ115" s="108">
        <v>2936</v>
      </c>
      <c r="CA115" s="109">
        <v>0</v>
      </c>
      <c r="CB115" s="109">
        <v>0</v>
      </c>
      <c r="CC115" s="110">
        <v>0</v>
      </c>
      <c r="CD115" s="111">
        <v>0</v>
      </c>
      <c r="CE115" s="109">
        <v>0</v>
      </c>
      <c r="CF115" s="104">
        <v>-24618000</v>
      </c>
      <c r="CG115" s="109">
        <v>-3.1E-2</v>
      </c>
      <c r="CH115" s="109">
        <v>2.1000000000000001E-2</v>
      </c>
      <c r="CI115" s="109">
        <v>-0.01</v>
      </c>
    </row>
    <row r="116" spans="1:87" s="222" customFormat="1" ht="22.8" x14ac:dyDescent="0.3">
      <c r="A116" s="57">
        <v>14424</v>
      </c>
      <c r="B116" s="57" t="s">
        <v>186</v>
      </c>
      <c r="C116" s="57" t="s">
        <v>83</v>
      </c>
      <c r="D116" s="57">
        <v>14288</v>
      </c>
      <c r="E116" s="57">
        <v>2025</v>
      </c>
      <c r="F116" s="57" t="s">
        <v>276</v>
      </c>
      <c r="G116" s="57">
        <v>3</v>
      </c>
      <c r="H116" s="57">
        <v>9</v>
      </c>
      <c r="I116" s="57" t="s">
        <v>711</v>
      </c>
      <c r="J116" s="100">
        <v>0</v>
      </c>
      <c r="K116" s="100">
        <v>0</v>
      </c>
      <c r="L116" s="100">
        <v>0</v>
      </c>
      <c r="M116" s="100">
        <v>0</v>
      </c>
      <c r="N116" s="100">
        <v>0</v>
      </c>
      <c r="O116" s="100">
        <v>0</v>
      </c>
      <c r="P116" s="100">
        <v>0</v>
      </c>
      <c r="Q116" s="104">
        <v>0</v>
      </c>
      <c r="R116" s="100">
        <v>0</v>
      </c>
      <c r="S116" s="100">
        <v>0</v>
      </c>
      <c r="T116" s="100">
        <v>0</v>
      </c>
      <c r="U116" s="100">
        <v>0</v>
      </c>
      <c r="V116" s="100">
        <v>0</v>
      </c>
      <c r="W116" s="100">
        <v>0</v>
      </c>
      <c r="X116" s="104">
        <v>0</v>
      </c>
      <c r="Y116" s="100">
        <v>0</v>
      </c>
      <c r="Z116" s="104">
        <v>0</v>
      </c>
      <c r="AA116" s="104">
        <v>0</v>
      </c>
      <c r="AB116" s="100">
        <v>0</v>
      </c>
      <c r="AC116" s="100">
        <v>0</v>
      </c>
      <c r="AD116" s="100">
        <v>0</v>
      </c>
      <c r="AE116" s="100">
        <v>0</v>
      </c>
      <c r="AF116" s="104">
        <v>0</v>
      </c>
      <c r="AG116" s="100">
        <v>0</v>
      </c>
      <c r="AH116" s="100">
        <v>0</v>
      </c>
      <c r="AI116" s="100">
        <v>0</v>
      </c>
      <c r="AJ116" s="104">
        <v>0</v>
      </c>
      <c r="AK116" s="104">
        <v>0</v>
      </c>
      <c r="AL116" s="100">
        <v>0</v>
      </c>
      <c r="AM116" s="100">
        <v>0</v>
      </c>
      <c r="AN116" s="100">
        <v>0</v>
      </c>
      <c r="AO116" s="104">
        <v>0</v>
      </c>
      <c r="AP116" s="104">
        <v>0</v>
      </c>
      <c r="AQ116" s="100">
        <v>2352534</v>
      </c>
      <c r="AR116" s="100">
        <v>3796</v>
      </c>
      <c r="AS116" s="100">
        <v>1127665</v>
      </c>
      <c r="AT116" s="100">
        <v>0</v>
      </c>
      <c r="AU116" s="100">
        <v>0</v>
      </c>
      <c r="AV116" s="100">
        <v>0</v>
      </c>
      <c r="AW116" s="104">
        <v>3483995</v>
      </c>
      <c r="AX116" s="100">
        <v>0</v>
      </c>
      <c r="AY116" s="100">
        <v>0</v>
      </c>
      <c r="AZ116" s="100"/>
      <c r="BA116" s="100">
        <v>0</v>
      </c>
      <c r="BB116" s="100">
        <v>0</v>
      </c>
      <c r="BC116" s="104">
        <v>0</v>
      </c>
      <c r="BD116" s="104">
        <v>3483995</v>
      </c>
      <c r="BE116" s="100">
        <v>1350650</v>
      </c>
      <c r="BF116" s="100">
        <v>3588127</v>
      </c>
      <c r="BG116" s="100">
        <v>24183</v>
      </c>
      <c r="BH116" s="100">
        <v>-241</v>
      </c>
      <c r="BI116" s="100">
        <v>0</v>
      </c>
      <c r="BJ116" s="100">
        <v>2853651</v>
      </c>
      <c r="BK116" s="100">
        <v>0</v>
      </c>
      <c r="BL116" s="104">
        <v>7816370</v>
      </c>
      <c r="BM116" s="104">
        <v>-4332375</v>
      </c>
      <c r="BN116" s="100">
        <v>0</v>
      </c>
      <c r="BO116" s="100">
        <v>0</v>
      </c>
      <c r="BP116" s="100">
        <v>-4332375</v>
      </c>
      <c r="BQ116" s="100">
        <v>0</v>
      </c>
      <c r="BR116" s="100">
        <v>0</v>
      </c>
      <c r="BS116" s="104">
        <v>-4332375</v>
      </c>
      <c r="BT116" s="109">
        <v>-1.244</v>
      </c>
      <c r="BU116" s="109">
        <v>0</v>
      </c>
      <c r="BV116" s="109">
        <v>-1.244</v>
      </c>
      <c r="BW116" s="106">
        <v>0</v>
      </c>
      <c r="BX116" s="107">
        <v>0</v>
      </c>
      <c r="BY116" s="107">
        <v>0</v>
      </c>
      <c r="BZ116" s="108">
        <v>17877.3</v>
      </c>
      <c r="CA116" s="109">
        <v>0</v>
      </c>
      <c r="CB116" s="109">
        <v>0</v>
      </c>
      <c r="CC116" s="110">
        <v>0</v>
      </c>
      <c r="CD116" s="110"/>
      <c r="CE116" s="110"/>
      <c r="CF116" s="104">
        <v>0</v>
      </c>
      <c r="CG116" s="109">
        <v>0</v>
      </c>
      <c r="CH116" s="109">
        <v>16948318</v>
      </c>
      <c r="CI116" s="109">
        <v>-3.9E-2</v>
      </c>
    </row>
    <row r="117" spans="1:87" s="222" customFormat="1" ht="34.200000000000003" x14ac:dyDescent="0.3">
      <c r="A117" s="57">
        <v>14426</v>
      </c>
      <c r="B117" s="57" t="s">
        <v>116</v>
      </c>
      <c r="C117" s="57" t="s">
        <v>83</v>
      </c>
      <c r="D117" s="57">
        <v>14286</v>
      </c>
      <c r="E117" s="57">
        <v>2025</v>
      </c>
      <c r="F117" s="57" t="s">
        <v>275</v>
      </c>
      <c r="G117" s="57">
        <v>2</v>
      </c>
      <c r="H117" s="57">
        <v>6</v>
      </c>
      <c r="I117" s="57" t="s">
        <v>709</v>
      </c>
      <c r="J117" s="100">
        <v>0</v>
      </c>
      <c r="K117" s="100">
        <v>0</v>
      </c>
      <c r="L117" s="100">
        <v>0</v>
      </c>
      <c r="M117" s="100">
        <v>0</v>
      </c>
      <c r="N117" s="100">
        <v>0</v>
      </c>
      <c r="O117" s="100">
        <v>0</v>
      </c>
      <c r="P117" s="100">
        <v>0</v>
      </c>
      <c r="Q117" s="104">
        <v>0</v>
      </c>
      <c r="R117" s="100">
        <v>0</v>
      </c>
      <c r="S117" s="100">
        <v>0</v>
      </c>
      <c r="T117" s="100">
        <v>0</v>
      </c>
      <c r="U117" s="100">
        <v>0</v>
      </c>
      <c r="V117" s="100">
        <v>0</v>
      </c>
      <c r="W117" s="100">
        <v>0</v>
      </c>
      <c r="X117" s="104">
        <v>0</v>
      </c>
      <c r="Y117" s="100">
        <v>0</v>
      </c>
      <c r="Z117" s="104">
        <v>0</v>
      </c>
      <c r="AA117" s="104">
        <v>0</v>
      </c>
      <c r="AB117" s="100">
        <v>0</v>
      </c>
      <c r="AC117" s="100">
        <v>0</v>
      </c>
      <c r="AD117" s="100">
        <v>0</v>
      </c>
      <c r="AE117" s="100">
        <v>0</v>
      </c>
      <c r="AF117" s="104">
        <v>0</v>
      </c>
      <c r="AG117" s="100">
        <v>0</v>
      </c>
      <c r="AH117" s="100">
        <v>0</v>
      </c>
      <c r="AI117" s="100">
        <v>0</v>
      </c>
      <c r="AJ117" s="104">
        <v>0</v>
      </c>
      <c r="AK117" s="104">
        <v>0</v>
      </c>
      <c r="AL117" s="100">
        <v>0</v>
      </c>
      <c r="AM117" s="100">
        <v>0</v>
      </c>
      <c r="AN117" s="100">
        <v>0</v>
      </c>
      <c r="AO117" s="104">
        <v>0</v>
      </c>
      <c r="AP117" s="104">
        <v>0</v>
      </c>
      <c r="AQ117" s="100">
        <v>440411601</v>
      </c>
      <c r="AR117" s="100">
        <v>0</v>
      </c>
      <c r="AS117" s="100">
        <v>99543398</v>
      </c>
      <c r="AT117" s="100">
        <v>0</v>
      </c>
      <c r="AU117" s="100">
        <v>0</v>
      </c>
      <c r="AV117" s="100">
        <v>14659706</v>
      </c>
      <c r="AW117" s="104">
        <v>554614705</v>
      </c>
      <c r="AX117" s="100">
        <v>10136814</v>
      </c>
      <c r="AY117" s="100">
        <v>0</v>
      </c>
      <c r="AZ117" s="100">
        <v>0</v>
      </c>
      <c r="BA117" s="100">
        <v>-28535575</v>
      </c>
      <c r="BB117" s="100">
        <v>961540</v>
      </c>
      <c r="BC117" s="104">
        <v>-17437221</v>
      </c>
      <c r="BD117" s="104">
        <v>537177484</v>
      </c>
      <c r="BE117" s="100">
        <v>461396923</v>
      </c>
      <c r="BF117" s="100">
        <v>0</v>
      </c>
      <c r="BG117" s="100">
        <v>1072791</v>
      </c>
      <c r="BH117" s="100">
        <v>0</v>
      </c>
      <c r="BI117" s="100">
        <v>0</v>
      </c>
      <c r="BJ117" s="100">
        <v>89666612</v>
      </c>
      <c r="BK117" s="100">
        <v>0</v>
      </c>
      <c r="BL117" s="104">
        <v>552136326</v>
      </c>
      <c r="BM117" s="104">
        <v>-14958842</v>
      </c>
      <c r="BN117" s="100">
        <v>200000</v>
      </c>
      <c r="BO117" s="100">
        <v>0</v>
      </c>
      <c r="BP117" s="100">
        <v>-14758842</v>
      </c>
      <c r="BQ117" s="100">
        <v>1795434</v>
      </c>
      <c r="BR117" s="100">
        <v>0</v>
      </c>
      <c r="BS117" s="104">
        <v>-12963408</v>
      </c>
      <c r="BT117" s="105">
        <v>5.0000000000000001E-3</v>
      </c>
      <c r="BU117" s="105">
        <v>-3.2000000000000001E-2</v>
      </c>
      <c r="BV117" s="105">
        <v>-2.8000000000000001E-2</v>
      </c>
      <c r="BW117" s="106">
        <v>0</v>
      </c>
      <c r="BX117" s="107">
        <v>0</v>
      </c>
      <c r="BY117" s="107">
        <v>0</v>
      </c>
      <c r="BZ117" s="108">
        <v>0</v>
      </c>
      <c r="CA117" s="109">
        <v>0</v>
      </c>
      <c r="CB117" s="109">
        <v>0</v>
      </c>
      <c r="CC117" s="110">
        <v>0</v>
      </c>
      <c r="CD117" s="111">
        <v>0</v>
      </c>
      <c r="CE117" s="109">
        <v>0</v>
      </c>
      <c r="CF117" s="104">
        <v>0</v>
      </c>
      <c r="CG117" s="109">
        <v>0</v>
      </c>
      <c r="CH117" s="109">
        <v>-135733</v>
      </c>
      <c r="CI117" s="109">
        <v>-1E-3</v>
      </c>
    </row>
    <row r="118" spans="1:87" s="222" customFormat="1" ht="22.8" x14ac:dyDescent="0.3">
      <c r="A118" s="14">
        <v>14427</v>
      </c>
      <c r="B118" s="14" t="s">
        <v>617</v>
      </c>
      <c r="C118" s="14" t="s">
        <v>83</v>
      </c>
      <c r="D118" s="14">
        <v>3888</v>
      </c>
      <c r="E118" s="14">
        <v>2025</v>
      </c>
      <c r="F118" s="14" t="s">
        <v>630</v>
      </c>
      <c r="G118" s="14">
        <v>1</v>
      </c>
      <c r="H118" s="14">
        <v>3</v>
      </c>
      <c r="I118" s="14" t="s">
        <v>710</v>
      </c>
      <c r="J118" s="96">
        <v>0</v>
      </c>
      <c r="K118" s="96">
        <v>0</v>
      </c>
      <c r="L118" s="96">
        <v>0</v>
      </c>
      <c r="M118" s="96">
        <v>0</v>
      </c>
      <c r="N118" s="96">
        <v>0</v>
      </c>
      <c r="O118" s="96">
        <v>0</v>
      </c>
      <c r="P118" s="96">
        <v>0</v>
      </c>
      <c r="Q118" s="104">
        <v>0</v>
      </c>
      <c r="R118" s="96">
        <v>0</v>
      </c>
      <c r="S118" s="96">
        <v>0</v>
      </c>
      <c r="T118" s="96">
        <v>0</v>
      </c>
      <c r="U118" s="96">
        <v>0</v>
      </c>
      <c r="V118" s="96">
        <v>0</v>
      </c>
      <c r="W118" s="96">
        <v>0</v>
      </c>
      <c r="X118" s="104">
        <v>0</v>
      </c>
      <c r="Y118" s="96">
        <v>0</v>
      </c>
      <c r="Z118" s="104">
        <v>0</v>
      </c>
      <c r="AA118" s="104">
        <v>0</v>
      </c>
      <c r="AB118" s="96">
        <v>0</v>
      </c>
      <c r="AC118" s="96">
        <v>0</v>
      </c>
      <c r="AD118" s="96">
        <v>0</v>
      </c>
      <c r="AE118" s="96">
        <v>0</v>
      </c>
      <c r="AF118" s="104">
        <v>0</v>
      </c>
      <c r="AG118" s="96">
        <v>0</v>
      </c>
      <c r="AH118" s="96">
        <v>0</v>
      </c>
      <c r="AI118" s="96">
        <v>0</v>
      </c>
      <c r="AJ118" s="104">
        <v>0</v>
      </c>
      <c r="AK118" s="104">
        <v>0</v>
      </c>
      <c r="AL118" s="96">
        <v>0</v>
      </c>
      <c r="AM118" s="96">
        <v>0</v>
      </c>
      <c r="AN118" s="96">
        <v>0</v>
      </c>
      <c r="AO118" s="104">
        <v>0</v>
      </c>
      <c r="AP118" s="104">
        <v>0</v>
      </c>
      <c r="AQ118" s="96">
        <v>7678754</v>
      </c>
      <c r="AR118" s="96">
        <v>0</v>
      </c>
      <c r="AS118" s="96">
        <v>1358759</v>
      </c>
      <c r="AT118" s="96">
        <v>0</v>
      </c>
      <c r="AU118" s="96">
        <v>0</v>
      </c>
      <c r="AV118" s="96">
        <v>0</v>
      </c>
      <c r="AW118" s="104">
        <v>9037513</v>
      </c>
      <c r="AX118" s="96">
        <v>135</v>
      </c>
      <c r="AY118" s="96">
        <v>0</v>
      </c>
      <c r="AZ118" s="96">
        <v>0</v>
      </c>
      <c r="BA118" s="96">
        <v>0</v>
      </c>
      <c r="BB118" s="96">
        <v>0</v>
      </c>
      <c r="BC118" s="104">
        <v>135</v>
      </c>
      <c r="BD118" s="104">
        <v>9037648</v>
      </c>
      <c r="BE118" s="96">
        <v>10510975</v>
      </c>
      <c r="BF118" s="96">
        <v>0</v>
      </c>
      <c r="BG118" s="96">
        <v>112193</v>
      </c>
      <c r="BH118" s="96">
        <v>53879</v>
      </c>
      <c r="BI118" s="96">
        <v>0</v>
      </c>
      <c r="BJ118" s="96">
        <v>2147617</v>
      </c>
      <c r="BK118" s="96">
        <v>0</v>
      </c>
      <c r="BL118" s="104">
        <v>12824664</v>
      </c>
      <c r="BM118" s="104">
        <v>-3787016</v>
      </c>
      <c r="BN118" s="96">
        <v>0</v>
      </c>
      <c r="BO118" s="96">
        <v>0</v>
      </c>
      <c r="BP118" s="96">
        <v>-3787016</v>
      </c>
      <c r="BQ118" s="96">
        <v>0</v>
      </c>
      <c r="BR118" s="96">
        <v>0</v>
      </c>
      <c r="BS118" s="104">
        <v>-3787016</v>
      </c>
      <c r="BT118" s="105">
        <v>-0.41899999999999998</v>
      </c>
      <c r="BU118" s="105">
        <v>0</v>
      </c>
      <c r="BV118" s="105">
        <v>-0.41899999999999998</v>
      </c>
      <c r="BW118" s="106">
        <v>0</v>
      </c>
      <c r="BX118" s="107">
        <v>0</v>
      </c>
      <c r="BY118" s="107">
        <v>0</v>
      </c>
      <c r="BZ118" s="108">
        <v>-67.2</v>
      </c>
      <c r="CA118" s="109">
        <v>0</v>
      </c>
      <c r="CB118" s="109">
        <v>0</v>
      </c>
      <c r="CC118" s="110">
        <v>0</v>
      </c>
      <c r="CD118" s="111">
        <v>0</v>
      </c>
      <c r="CE118" s="109">
        <v>0</v>
      </c>
      <c r="CF118" s="104">
        <v>0</v>
      </c>
      <c r="CG118" s="109">
        <v>0</v>
      </c>
      <c r="CH118" s="109">
        <v>704531461</v>
      </c>
      <c r="CI118" s="109">
        <v>8.9999999999999993E-3</v>
      </c>
    </row>
    <row r="119" spans="1:87" s="222" customFormat="1" ht="22.8" x14ac:dyDescent="0.3">
      <c r="A119" s="14">
        <v>14428</v>
      </c>
      <c r="B119" s="14" t="s">
        <v>206</v>
      </c>
      <c r="C119" s="14" t="s">
        <v>83</v>
      </c>
      <c r="D119" s="14">
        <v>12767</v>
      </c>
      <c r="E119" s="14">
        <v>2025</v>
      </c>
      <c r="F119" s="14" t="s">
        <v>275</v>
      </c>
      <c r="G119" s="14">
        <v>2</v>
      </c>
      <c r="H119" s="14">
        <v>6</v>
      </c>
      <c r="I119" s="14" t="s">
        <v>709</v>
      </c>
      <c r="J119" s="96">
        <v>0</v>
      </c>
      <c r="K119" s="96">
        <v>0</v>
      </c>
      <c r="L119" s="96">
        <v>0</v>
      </c>
      <c r="M119" s="96">
        <v>0</v>
      </c>
      <c r="N119" s="96">
        <v>0</v>
      </c>
      <c r="O119" s="96">
        <v>0</v>
      </c>
      <c r="P119" s="96">
        <v>0</v>
      </c>
      <c r="Q119" s="104">
        <v>0</v>
      </c>
      <c r="R119" s="96">
        <v>0</v>
      </c>
      <c r="S119" s="96">
        <v>0</v>
      </c>
      <c r="T119" s="96">
        <v>0</v>
      </c>
      <c r="U119" s="96">
        <v>0</v>
      </c>
      <c r="V119" s="96">
        <v>0</v>
      </c>
      <c r="W119" s="96">
        <v>0</v>
      </c>
      <c r="X119" s="104">
        <v>0</v>
      </c>
      <c r="Y119" s="96">
        <v>0</v>
      </c>
      <c r="Z119" s="104">
        <v>0</v>
      </c>
      <c r="AA119" s="104">
        <v>0</v>
      </c>
      <c r="AB119" s="96">
        <v>0</v>
      </c>
      <c r="AC119" s="96">
        <v>0</v>
      </c>
      <c r="AD119" s="96">
        <v>0</v>
      </c>
      <c r="AE119" s="96">
        <v>0</v>
      </c>
      <c r="AF119" s="104">
        <v>0</v>
      </c>
      <c r="AG119" s="96">
        <v>0</v>
      </c>
      <c r="AH119" s="96">
        <v>0</v>
      </c>
      <c r="AI119" s="96">
        <v>0</v>
      </c>
      <c r="AJ119" s="104">
        <v>0</v>
      </c>
      <c r="AK119" s="104">
        <v>0</v>
      </c>
      <c r="AL119" s="96">
        <v>0</v>
      </c>
      <c r="AM119" s="96">
        <v>0</v>
      </c>
      <c r="AN119" s="96">
        <v>0</v>
      </c>
      <c r="AO119" s="104">
        <v>0</v>
      </c>
      <c r="AP119" s="104">
        <v>0</v>
      </c>
      <c r="AQ119" s="96">
        <v>4361924</v>
      </c>
      <c r="AR119" s="96">
        <v>957619</v>
      </c>
      <c r="AS119" s="96">
        <v>867604</v>
      </c>
      <c r="AT119" s="96">
        <v>0</v>
      </c>
      <c r="AU119" s="96">
        <v>0</v>
      </c>
      <c r="AV119" s="96">
        <v>0</v>
      </c>
      <c r="AW119" s="104">
        <v>6187147</v>
      </c>
      <c r="AX119" s="96">
        <v>0</v>
      </c>
      <c r="AY119" s="96">
        <v>0</v>
      </c>
      <c r="AZ119" s="96"/>
      <c r="BA119" s="96">
        <v>0</v>
      </c>
      <c r="BB119" s="96">
        <v>0</v>
      </c>
      <c r="BC119" s="104">
        <v>0</v>
      </c>
      <c r="BD119" s="104">
        <v>6187147</v>
      </c>
      <c r="BE119" s="96">
        <v>4931476</v>
      </c>
      <c r="BF119" s="96">
        <v>0</v>
      </c>
      <c r="BG119" s="96">
        <v>3427</v>
      </c>
      <c r="BH119" s="96">
        <v>0</v>
      </c>
      <c r="BI119" s="96">
        <v>0</v>
      </c>
      <c r="BJ119" s="96">
        <v>898475</v>
      </c>
      <c r="BK119" s="96">
        <v>0</v>
      </c>
      <c r="BL119" s="104">
        <v>5833378</v>
      </c>
      <c r="BM119" s="104">
        <v>353769</v>
      </c>
      <c r="BN119" s="96">
        <v>250000</v>
      </c>
      <c r="BO119" s="96">
        <v>0</v>
      </c>
      <c r="BP119" s="96">
        <v>603769</v>
      </c>
      <c r="BQ119" s="96">
        <v>0</v>
      </c>
      <c r="BR119" s="96">
        <v>0</v>
      </c>
      <c r="BS119" s="104">
        <v>603769</v>
      </c>
      <c r="BT119" s="109">
        <v>5.7000000000000002E-2</v>
      </c>
      <c r="BU119" s="109">
        <v>0</v>
      </c>
      <c r="BV119" s="109">
        <v>5.7000000000000002E-2</v>
      </c>
      <c r="BW119" s="106">
        <v>0</v>
      </c>
      <c r="BX119" s="107">
        <v>0</v>
      </c>
      <c r="BY119" s="107">
        <v>0</v>
      </c>
      <c r="BZ119" s="108">
        <v>0</v>
      </c>
      <c r="CA119" s="109">
        <v>0</v>
      </c>
      <c r="CB119" s="109">
        <v>0</v>
      </c>
      <c r="CC119" s="110">
        <v>0</v>
      </c>
      <c r="CD119" s="110"/>
      <c r="CE119" s="110"/>
      <c r="CF119" s="104">
        <v>0</v>
      </c>
      <c r="CG119" s="109">
        <v>0</v>
      </c>
      <c r="CH119" s="109">
        <v>5660177</v>
      </c>
      <c r="CI119" s="109">
        <v>3.2000000000000001E-2</v>
      </c>
    </row>
    <row r="120" spans="1:87" s="222" customFormat="1" ht="22.8" x14ac:dyDescent="0.3">
      <c r="A120" s="14">
        <v>14495</v>
      </c>
      <c r="B120" s="14" t="s">
        <v>81</v>
      </c>
      <c r="C120" s="14" t="s">
        <v>77</v>
      </c>
      <c r="D120" s="14">
        <v>4066</v>
      </c>
      <c r="E120" s="14">
        <v>2025</v>
      </c>
      <c r="F120" s="14" t="s">
        <v>275</v>
      </c>
      <c r="G120" s="14">
        <v>2</v>
      </c>
      <c r="H120" s="14">
        <v>6</v>
      </c>
      <c r="I120" s="14" t="s">
        <v>709</v>
      </c>
      <c r="J120" s="96">
        <v>9102000</v>
      </c>
      <c r="K120" s="96">
        <v>3939000</v>
      </c>
      <c r="L120" s="96">
        <v>0</v>
      </c>
      <c r="M120" s="96">
        <v>10072000</v>
      </c>
      <c r="N120" s="96">
        <v>26000</v>
      </c>
      <c r="O120" s="96">
        <v>1866000</v>
      </c>
      <c r="P120" s="96">
        <v>3093000</v>
      </c>
      <c r="Q120" s="104">
        <v>28098000</v>
      </c>
      <c r="R120" s="96">
        <v>2370000</v>
      </c>
      <c r="S120" s="96">
        <v>0</v>
      </c>
      <c r="T120" s="96">
        <v>3807000</v>
      </c>
      <c r="U120" s="96">
        <v>0</v>
      </c>
      <c r="V120" s="96">
        <v>124212000</v>
      </c>
      <c r="W120" s="96">
        <v>73262000</v>
      </c>
      <c r="X120" s="104">
        <v>50950000</v>
      </c>
      <c r="Y120" s="96">
        <v>106000</v>
      </c>
      <c r="Z120" s="104">
        <v>57233000</v>
      </c>
      <c r="AA120" s="104">
        <v>85331000</v>
      </c>
      <c r="AB120" s="96">
        <v>1081000</v>
      </c>
      <c r="AC120" s="96">
        <v>1484000</v>
      </c>
      <c r="AD120" s="96">
        <v>25937000</v>
      </c>
      <c r="AE120" s="96">
        <v>12507000</v>
      </c>
      <c r="AF120" s="104">
        <v>41009000</v>
      </c>
      <c r="AG120" s="96">
        <v>20199000</v>
      </c>
      <c r="AH120" s="96">
        <v>0</v>
      </c>
      <c r="AI120" s="96">
        <v>797000</v>
      </c>
      <c r="AJ120" s="104">
        <v>20996000</v>
      </c>
      <c r="AK120" s="104">
        <v>62005000</v>
      </c>
      <c r="AL120" s="96">
        <v>18049000</v>
      </c>
      <c r="AM120" s="96">
        <v>0</v>
      </c>
      <c r="AN120" s="96">
        <v>5277000</v>
      </c>
      <c r="AO120" s="104">
        <v>23326000</v>
      </c>
      <c r="AP120" s="104">
        <v>85331000</v>
      </c>
      <c r="AQ120" s="96">
        <v>53099000</v>
      </c>
      <c r="AR120" s="96">
        <v>0</v>
      </c>
      <c r="AS120" s="96">
        <v>1791000</v>
      </c>
      <c r="AT120" s="96">
        <v>0</v>
      </c>
      <c r="AU120" s="96">
        <v>0</v>
      </c>
      <c r="AV120" s="96">
        <v>13000</v>
      </c>
      <c r="AW120" s="104">
        <v>54903000</v>
      </c>
      <c r="AX120" s="96">
        <v>61000</v>
      </c>
      <c r="AY120" s="96">
        <v>0</v>
      </c>
      <c r="AZ120" s="96">
        <v>-25000</v>
      </c>
      <c r="BA120" s="96">
        <v>-18000</v>
      </c>
      <c r="BB120" s="96">
        <v>0</v>
      </c>
      <c r="BC120" s="104">
        <v>18000</v>
      </c>
      <c r="BD120" s="104">
        <v>54921000</v>
      </c>
      <c r="BE120" s="96">
        <v>23811000</v>
      </c>
      <c r="BF120" s="96">
        <v>0</v>
      </c>
      <c r="BG120" s="96">
        <v>2119000</v>
      </c>
      <c r="BH120" s="96">
        <v>624000</v>
      </c>
      <c r="BI120" s="96">
        <v>3911000</v>
      </c>
      <c r="BJ120" s="96">
        <v>20753000</v>
      </c>
      <c r="BK120" s="96">
        <v>203000</v>
      </c>
      <c r="BL120" s="104">
        <v>51421000</v>
      </c>
      <c r="BM120" s="104">
        <v>3500000</v>
      </c>
      <c r="BN120" s="96">
        <v>0</v>
      </c>
      <c r="BO120" s="96">
        <v>14000</v>
      </c>
      <c r="BP120" s="96">
        <v>3514000</v>
      </c>
      <c r="BQ120" s="96">
        <v>0</v>
      </c>
      <c r="BR120" s="96">
        <v>0</v>
      </c>
      <c r="BS120" s="104">
        <v>3514000</v>
      </c>
      <c r="BT120" s="105">
        <v>6.3E-2</v>
      </c>
      <c r="BU120" s="105">
        <v>0</v>
      </c>
      <c r="BV120" s="105">
        <v>6.4000000000000001E-2</v>
      </c>
      <c r="BW120" s="106">
        <v>0.7</v>
      </c>
      <c r="BX120" s="107">
        <v>35</v>
      </c>
      <c r="BY120" s="107">
        <v>146</v>
      </c>
      <c r="BZ120" s="108">
        <v>3.7</v>
      </c>
      <c r="CA120" s="109">
        <v>9.1999999999999998E-2</v>
      </c>
      <c r="CB120" s="109">
        <v>0.27300000000000002</v>
      </c>
      <c r="CC120" s="110">
        <v>35</v>
      </c>
      <c r="CD120" s="111">
        <v>48</v>
      </c>
      <c r="CE120" s="109">
        <v>0.46400000000000002</v>
      </c>
      <c r="CF120" s="104">
        <v>-20675000</v>
      </c>
      <c r="CG120" s="109">
        <v>-4.9000000000000002E-2</v>
      </c>
      <c r="CH120" s="109">
        <v>1E-3</v>
      </c>
      <c r="CI120" s="109">
        <v>-4.8000000000000001E-2</v>
      </c>
    </row>
    <row r="121" spans="1:87" s="222" customFormat="1" ht="22.8" x14ac:dyDescent="0.3">
      <c r="A121" s="57">
        <v>14496</v>
      </c>
      <c r="B121" s="57" t="s">
        <v>199</v>
      </c>
      <c r="C121" s="57" t="s">
        <v>77</v>
      </c>
      <c r="D121" s="57">
        <v>6755</v>
      </c>
      <c r="E121" s="57">
        <v>2025</v>
      </c>
      <c r="F121" s="57" t="s">
        <v>275</v>
      </c>
      <c r="G121" s="57">
        <v>2</v>
      </c>
      <c r="H121" s="57">
        <v>6</v>
      </c>
      <c r="I121" s="57" t="s">
        <v>709</v>
      </c>
      <c r="J121" s="100">
        <v>2602000</v>
      </c>
      <c r="K121" s="100">
        <v>527000</v>
      </c>
      <c r="L121" s="100">
        <v>0</v>
      </c>
      <c r="M121" s="100">
        <v>51974000</v>
      </c>
      <c r="N121" s="100">
        <v>296050000</v>
      </c>
      <c r="O121" s="100">
        <v>8382000</v>
      </c>
      <c r="P121" s="100">
        <v>6082000</v>
      </c>
      <c r="Q121" s="104">
        <v>365617000</v>
      </c>
      <c r="R121" s="100">
        <v>25188000</v>
      </c>
      <c r="S121" s="100">
        <v>0</v>
      </c>
      <c r="T121" s="100">
        <v>0</v>
      </c>
      <c r="U121" s="100">
        <v>0</v>
      </c>
      <c r="V121" s="100">
        <v>284227000</v>
      </c>
      <c r="W121" s="100">
        <v>175202000</v>
      </c>
      <c r="X121" s="104">
        <v>109025000</v>
      </c>
      <c r="Y121" s="100">
        <v>88308000</v>
      </c>
      <c r="Z121" s="104">
        <v>222521000</v>
      </c>
      <c r="AA121" s="104">
        <v>588138000</v>
      </c>
      <c r="AB121" s="100">
        <v>0</v>
      </c>
      <c r="AC121" s="100">
        <v>515000</v>
      </c>
      <c r="AD121" s="100">
        <v>338017000</v>
      </c>
      <c r="AE121" s="100">
        <v>20328000</v>
      </c>
      <c r="AF121" s="104">
        <v>358860000</v>
      </c>
      <c r="AG121" s="100">
        <v>0</v>
      </c>
      <c r="AH121" s="100">
        <v>54789000</v>
      </c>
      <c r="AI121" s="100">
        <v>4430000</v>
      </c>
      <c r="AJ121" s="104">
        <v>59219000</v>
      </c>
      <c r="AK121" s="104">
        <v>418079000</v>
      </c>
      <c r="AL121" s="100">
        <v>136636000</v>
      </c>
      <c r="AM121" s="100">
        <v>8190000</v>
      </c>
      <c r="AN121" s="100">
        <v>25233000</v>
      </c>
      <c r="AO121" s="104">
        <v>170059000</v>
      </c>
      <c r="AP121" s="104">
        <v>588138000</v>
      </c>
      <c r="AQ121" s="100">
        <v>137924000</v>
      </c>
      <c r="AR121" s="100">
        <v>0</v>
      </c>
      <c r="AS121" s="100">
        <v>9953000</v>
      </c>
      <c r="AT121" s="100">
        <v>0</v>
      </c>
      <c r="AU121" s="100">
        <v>0</v>
      </c>
      <c r="AV121" s="100">
        <v>204000</v>
      </c>
      <c r="AW121" s="104">
        <v>148081000</v>
      </c>
      <c r="AX121" s="100">
        <v>250000</v>
      </c>
      <c r="AY121" s="100">
        <v>159000</v>
      </c>
      <c r="AZ121" s="100"/>
      <c r="BA121" s="100">
        <v>-270000</v>
      </c>
      <c r="BB121" s="100">
        <v>0</v>
      </c>
      <c r="BC121" s="104">
        <v>139000</v>
      </c>
      <c r="BD121" s="104">
        <v>148220000</v>
      </c>
      <c r="BE121" s="100">
        <v>52112000</v>
      </c>
      <c r="BF121" s="100">
        <v>0</v>
      </c>
      <c r="BG121" s="100">
        <v>6361000</v>
      </c>
      <c r="BH121" s="100">
        <v>1389000</v>
      </c>
      <c r="BI121" s="100">
        <v>2432000</v>
      </c>
      <c r="BJ121" s="100">
        <v>84233000</v>
      </c>
      <c r="BK121" s="100">
        <v>0</v>
      </c>
      <c r="BL121" s="104">
        <v>146527000</v>
      </c>
      <c r="BM121" s="104">
        <v>1693000</v>
      </c>
      <c r="BN121" s="100">
        <v>-1236000</v>
      </c>
      <c r="BO121" s="100">
        <v>246000</v>
      </c>
      <c r="BP121" s="100">
        <v>703000</v>
      </c>
      <c r="BQ121" s="100">
        <v>0</v>
      </c>
      <c r="BR121" s="100">
        <v>0</v>
      </c>
      <c r="BS121" s="104">
        <v>703000</v>
      </c>
      <c r="BT121" s="109">
        <v>0.01</v>
      </c>
      <c r="BU121" s="109">
        <v>1E-3</v>
      </c>
      <c r="BV121" s="109">
        <v>1.0999999999999999E-2</v>
      </c>
      <c r="BW121" s="106">
        <v>1</v>
      </c>
      <c r="BX121" s="107">
        <v>69</v>
      </c>
      <c r="BY121" s="107">
        <v>467</v>
      </c>
      <c r="BZ121" s="108">
        <v>6.8</v>
      </c>
      <c r="CA121" s="109">
        <v>2.1999999999999999E-2</v>
      </c>
      <c r="CB121" s="109">
        <v>0.28899999999999998</v>
      </c>
      <c r="CC121" s="110">
        <v>28</v>
      </c>
      <c r="CD121" s="110"/>
      <c r="CE121" s="110"/>
      <c r="CF121" s="104">
        <v>0</v>
      </c>
      <c r="CG121" s="109">
        <v>0</v>
      </c>
      <c r="CH121" s="109">
        <v>-22220586</v>
      </c>
      <c r="CI121" s="109">
        <v>-0.40400000000000003</v>
      </c>
    </row>
    <row r="122" spans="1:87" s="222" customFormat="1" ht="34.200000000000003" x14ac:dyDescent="0.3">
      <c r="A122" s="57">
        <v>16532</v>
      </c>
      <c r="B122" s="57" t="s">
        <v>188</v>
      </c>
      <c r="C122" s="57" t="s">
        <v>83</v>
      </c>
      <c r="D122" s="57">
        <v>14288</v>
      </c>
      <c r="E122" s="57">
        <v>2025</v>
      </c>
      <c r="F122" s="57" t="s">
        <v>276</v>
      </c>
      <c r="G122" s="57">
        <v>3</v>
      </c>
      <c r="H122" s="57">
        <v>9</v>
      </c>
      <c r="I122" s="57" t="s">
        <v>711</v>
      </c>
      <c r="J122" s="100">
        <v>0</v>
      </c>
      <c r="K122" s="100">
        <v>0</v>
      </c>
      <c r="L122" s="100">
        <v>0</v>
      </c>
      <c r="M122" s="100">
        <v>0</v>
      </c>
      <c r="N122" s="100">
        <v>0</v>
      </c>
      <c r="O122" s="100">
        <v>0</v>
      </c>
      <c r="P122" s="100">
        <v>0</v>
      </c>
      <c r="Q122" s="104">
        <v>0</v>
      </c>
      <c r="R122" s="100">
        <v>0</v>
      </c>
      <c r="S122" s="100">
        <v>0</v>
      </c>
      <c r="T122" s="100">
        <v>0</v>
      </c>
      <c r="U122" s="100">
        <v>0</v>
      </c>
      <c r="V122" s="100">
        <v>0</v>
      </c>
      <c r="W122" s="100">
        <v>0</v>
      </c>
      <c r="X122" s="104">
        <v>0</v>
      </c>
      <c r="Y122" s="100">
        <v>0</v>
      </c>
      <c r="Z122" s="104">
        <v>0</v>
      </c>
      <c r="AA122" s="104">
        <v>0</v>
      </c>
      <c r="AB122" s="100">
        <v>0</v>
      </c>
      <c r="AC122" s="100">
        <v>0</v>
      </c>
      <c r="AD122" s="100">
        <v>0</v>
      </c>
      <c r="AE122" s="100">
        <v>0</v>
      </c>
      <c r="AF122" s="104">
        <v>0</v>
      </c>
      <c r="AG122" s="100">
        <v>0</v>
      </c>
      <c r="AH122" s="100">
        <v>0</v>
      </c>
      <c r="AI122" s="100">
        <v>0</v>
      </c>
      <c r="AJ122" s="104">
        <v>0</v>
      </c>
      <c r="AK122" s="104">
        <v>0</v>
      </c>
      <c r="AL122" s="100">
        <v>0</v>
      </c>
      <c r="AM122" s="100">
        <v>0</v>
      </c>
      <c r="AN122" s="100">
        <v>0</v>
      </c>
      <c r="AO122" s="104">
        <v>0</v>
      </c>
      <c r="AP122" s="104">
        <v>0</v>
      </c>
      <c r="AQ122" s="100">
        <v>5512129</v>
      </c>
      <c r="AR122" s="100">
        <v>0</v>
      </c>
      <c r="AS122" s="100">
        <v>1280</v>
      </c>
      <c r="AT122" s="100">
        <v>0</v>
      </c>
      <c r="AU122" s="100">
        <v>0</v>
      </c>
      <c r="AV122" s="100">
        <v>0</v>
      </c>
      <c r="AW122" s="104">
        <v>5513409</v>
      </c>
      <c r="AX122" s="100">
        <v>0</v>
      </c>
      <c r="AY122" s="100">
        <v>0</v>
      </c>
      <c r="AZ122" s="100"/>
      <c r="BA122" s="100">
        <v>0</v>
      </c>
      <c r="BB122" s="100">
        <v>0</v>
      </c>
      <c r="BC122" s="104">
        <v>0</v>
      </c>
      <c r="BD122" s="104">
        <v>5513409</v>
      </c>
      <c r="BE122" s="100">
        <v>0</v>
      </c>
      <c r="BF122" s="100">
        <v>5728412</v>
      </c>
      <c r="BG122" s="100">
        <v>7503</v>
      </c>
      <c r="BH122" s="100">
        <v>288</v>
      </c>
      <c r="BI122" s="100">
        <v>0</v>
      </c>
      <c r="BJ122" s="100">
        <v>5034833</v>
      </c>
      <c r="BK122" s="100">
        <v>0</v>
      </c>
      <c r="BL122" s="104">
        <v>10771036</v>
      </c>
      <c r="BM122" s="104">
        <v>-5257627</v>
      </c>
      <c r="BN122" s="100">
        <v>0</v>
      </c>
      <c r="BO122" s="100">
        <v>0</v>
      </c>
      <c r="BP122" s="100">
        <v>-5257627</v>
      </c>
      <c r="BQ122" s="100">
        <v>0</v>
      </c>
      <c r="BR122" s="100">
        <v>0</v>
      </c>
      <c r="BS122" s="104">
        <v>-5257627</v>
      </c>
      <c r="BT122" s="109">
        <v>-0.95399999999999996</v>
      </c>
      <c r="BU122" s="109">
        <v>0</v>
      </c>
      <c r="BV122" s="109">
        <v>-0.95399999999999996</v>
      </c>
      <c r="BW122" s="106">
        <v>0</v>
      </c>
      <c r="BX122" s="107">
        <v>0</v>
      </c>
      <c r="BY122" s="107">
        <v>0</v>
      </c>
      <c r="BZ122" s="108">
        <v>0</v>
      </c>
      <c r="CA122" s="109">
        <v>0</v>
      </c>
      <c r="CB122" s="109">
        <v>0</v>
      </c>
      <c r="CC122" s="110">
        <v>0</v>
      </c>
      <c r="CD122" s="110"/>
      <c r="CE122" s="110"/>
      <c r="CF122" s="104">
        <v>0</v>
      </c>
      <c r="CG122" s="109">
        <v>0</v>
      </c>
      <c r="CH122" s="109">
        <v>-4332375</v>
      </c>
      <c r="CI122" s="109">
        <v>-1.244</v>
      </c>
    </row>
    <row r="123" spans="1:87" s="222" customFormat="1" ht="22.8" x14ac:dyDescent="0.3">
      <c r="A123" s="14">
        <v>16533</v>
      </c>
      <c r="B123" s="14" t="s">
        <v>189</v>
      </c>
      <c r="C123" s="14" t="s">
        <v>83</v>
      </c>
      <c r="D123" s="14">
        <v>14288</v>
      </c>
      <c r="E123" s="14">
        <v>2025</v>
      </c>
      <c r="F123" s="14" t="s">
        <v>276</v>
      </c>
      <c r="G123" s="14">
        <v>3</v>
      </c>
      <c r="H123" s="14">
        <v>9</v>
      </c>
      <c r="I123" s="14" t="s">
        <v>711</v>
      </c>
      <c r="J123" s="96">
        <v>0</v>
      </c>
      <c r="K123" s="96">
        <v>0</v>
      </c>
      <c r="L123" s="96">
        <v>0</v>
      </c>
      <c r="M123" s="96">
        <v>0</v>
      </c>
      <c r="N123" s="96">
        <v>0</v>
      </c>
      <c r="O123" s="96">
        <v>0</v>
      </c>
      <c r="P123" s="96">
        <v>0</v>
      </c>
      <c r="Q123" s="104">
        <v>0</v>
      </c>
      <c r="R123" s="96">
        <v>0</v>
      </c>
      <c r="S123" s="96">
        <v>0</v>
      </c>
      <c r="T123" s="96">
        <v>0</v>
      </c>
      <c r="U123" s="96">
        <v>0</v>
      </c>
      <c r="V123" s="96">
        <v>0</v>
      </c>
      <c r="W123" s="96">
        <v>0</v>
      </c>
      <c r="X123" s="104">
        <v>0</v>
      </c>
      <c r="Y123" s="96">
        <v>0</v>
      </c>
      <c r="Z123" s="104">
        <v>0</v>
      </c>
      <c r="AA123" s="104">
        <v>0</v>
      </c>
      <c r="AB123" s="96">
        <v>0</v>
      </c>
      <c r="AC123" s="96">
        <v>0</v>
      </c>
      <c r="AD123" s="96">
        <v>0</v>
      </c>
      <c r="AE123" s="96">
        <v>0</v>
      </c>
      <c r="AF123" s="104">
        <v>0</v>
      </c>
      <c r="AG123" s="96">
        <v>0</v>
      </c>
      <c r="AH123" s="96">
        <v>0</v>
      </c>
      <c r="AI123" s="96">
        <v>0</v>
      </c>
      <c r="AJ123" s="104">
        <v>0</v>
      </c>
      <c r="AK123" s="104">
        <v>0</v>
      </c>
      <c r="AL123" s="96">
        <v>0</v>
      </c>
      <c r="AM123" s="96">
        <v>0</v>
      </c>
      <c r="AN123" s="96">
        <v>0</v>
      </c>
      <c r="AO123" s="104">
        <v>0</v>
      </c>
      <c r="AP123" s="104">
        <v>0</v>
      </c>
      <c r="AQ123" s="96">
        <v>40220796</v>
      </c>
      <c r="AR123" s="96">
        <v>8438140</v>
      </c>
      <c r="AS123" s="96">
        <v>14501332</v>
      </c>
      <c r="AT123" s="96">
        <v>0</v>
      </c>
      <c r="AU123" s="96">
        <v>0</v>
      </c>
      <c r="AV123" s="96">
        <v>0</v>
      </c>
      <c r="AW123" s="104">
        <v>63160268</v>
      </c>
      <c r="AX123" s="96">
        <v>0</v>
      </c>
      <c r="AY123" s="96">
        <v>0</v>
      </c>
      <c r="AZ123" s="96"/>
      <c r="BA123" s="96">
        <v>0</v>
      </c>
      <c r="BB123" s="96">
        <v>0</v>
      </c>
      <c r="BC123" s="104">
        <v>0</v>
      </c>
      <c r="BD123" s="104">
        <v>63160268</v>
      </c>
      <c r="BE123" s="96">
        <v>63418460</v>
      </c>
      <c r="BF123" s="96">
        <v>1048322</v>
      </c>
      <c r="BG123" s="96">
        <v>1146610</v>
      </c>
      <c r="BH123" s="96">
        <v>-276</v>
      </c>
      <c r="BI123" s="96">
        <v>0</v>
      </c>
      <c r="BJ123" s="96">
        <v>17658219</v>
      </c>
      <c r="BK123" s="96">
        <v>0</v>
      </c>
      <c r="BL123" s="104">
        <v>83271335</v>
      </c>
      <c r="BM123" s="104">
        <v>-20111067</v>
      </c>
      <c r="BN123" s="96">
        <v>0</v>
      </c>
      <c r="BO123" s="96">
        <v>0</v>
      </c>
      <c r="BP123" s="96">
        <v>-20111067</v>
      </c>
      <c r="BQ123" s="96">
        <v>0</v>
      </c>
      <c r="BR123" s="96">
        <v>0</v>
      </c>
      <c r="BS123" s="104">
        <v>-20111067</v>
      </c>
      <c r="BT123" s="109">
        <v>-0.318</v>
      </c>
      <c r="BU123" s="109">
        <v>0</v>
      </c>
      <c r="BV123" s="109">
        <v>-0.318</v>
      </c>
      <c r="BW123" s="106">
        <v>0</v>
      </c>
      <c r="BX123" s="107">
        <v>0</v>
      </c>
      <c r="BY123" s="107">
        <v>0</v>
      </c>
      <c r="BZ123" s="108">
        <v>68712.800000000003</v>
      </c>
      <c r="CA123" s="109">
        <v>0</v>
      </c>
      <c r="CB123" s="109">
        <v>0</v>
      </c>
      <c r="CC123" s="110">
        <v>0</v>
      </c>
      <c r="CD123" s="110"/>
      <c r="CE123" s="110"/>
      <c r="CF123" s="104">
        <v>0</v>
      </c>
      <c r="CG123" s="109">
        <v>0</v>
      </c>
      <c r="CH123" s="109">
        <v>353769</v>
      </c>
      <c r="CI123" s="109">
        <v>5.7000000000000002E-2</v>
      </c>
    </row>
    <row r="124" spans="1:87" s="222" customFormat="1" ht="22.8" x14ac:dyDescent="0.3">
      <c r="A124" s="14">
        <v>16579</v>
      </c>
      <c r="B124" s="14" t="s">
        <v>155</v>
      </c>
      <c r="C124" s="14" t="s">
        <v>83</v>
      </c>
      <c r="D124" s="14">
        <v>3791</v>
      </c>
      <c r="E124" s="14">
        <v>2025</v>
      </c>
      <c r="F124" s="14" t="s">
        <v>275</v>
      </c>
      <c r="G124" s="14">
        <v>2</v>
      </c>
      <c r="H124" s="14">
        <v>6</v>
      </c>
      <c r="I124" s="14" t="s">
        <v>709</v>
      </c>
      <c r="J124" s="96">
        <v>0</v>
      </c>
      <c r="K124" s="96">
        <v>0</v>
      </c>
      <c r="L124" s="96">
        <v>0</v>
      </c>
      <c r="M124" s="96">
        <v>0</v>
      </c>
      <c r="N124" s="96">
        <v>0</v>
      </c>
      <c r="O124" s="96">
        <v>0</v>
      </c>
      <c r="P124" s="96">
        <v>0</v>
      </c>
      <c r="Q124" s="104">
        <v>0</v>
      </c>
      <c r="R124" s="96">
        <v>0</v>
      </c>
      <c r="S124" s="96">
        <v>0</v>
      </c>
      <c r="T124" s="96">
        <v>0</v>
      </c>
      <c r="U124" s="96">
        <v>0</v>
      </c>
      <c r="V124" s="96">
        <v>0</v>
      </c>
      <c r="W124" s="96">
        <v>0</v>
      </c>
      <c r="X124" s="104">
        <v>0</v>
      </c>
      <c r="Y124" s="96">
        <v>0</v>
      </c>
      <c r="Z124" s="104">
        <v>0</v>
      </c>
      <c r="AA124" s="104">
        <v>0</v>
      </c>
      <c r="AB124" s="96">
        <v>0</v>
      </c>
      <c r="AC124" s="96">
        <v>0</v>
      </c>
      <c r="AD124" s="96">
        <v>0</v>
      </c>
      <c r="AE124" s="96">
        <v>0</v>
      </c>
      <c r="AF124" s="104">
        <v>0</v>
      </c>
      <c r="AG124" s="96">
        <v>0</v>
      </c>
      <c r="AH124" s="96">
        <v>0</v>
      </c>
      <c r="AI124" s="96">
        <v>0</v>
      </c>
      <c r="AJ124" s="104">
        <v>0</v>
      </c>
      <c r="AK124" s="104">
        <v>0</v>
      </c>
      <c r="AL124" s="96">
        <v>0</v>
      </c>
      <c r="AM124" s="96">
        <v>0</v>
      </c>
      <c r="AN124" s="96">
        <v>0</v>
      </c>
      <c r="AO124" s="104">
        <v>0</v>
      </c>
      <c r="AP124" s="104">
        <v>0</v>
      </c>
      <c r="AQ124" s="96">
        <v>679000</v>
      </c>
      <c r="AR124" s="96">
        <v>0</v>
      </c>
      <c r="AS124" s="96">
        <v>316000</v>
      </c>
      <c r="AT124" s="96">
        <v>0</v>
      </c>
      <c r="AU124" s="96">
        <v>0</v>
      </c>
      <c r="AV124" s="96">
        <v>0</v>
      </c>
      <c r="AW124" s="104">
        <v>995000</v>
      </c>
      <c r="AX124" s="96">
        <v>0</v>
      </c>
      <c r="AY124" s="96">
        <v>0</v>
      </c>
      <c r="AZ124" s="96">
        <v>0</v>
      </c>
      <c r="BA124" s="96">
        <v>0</v>
      </c>
      <c r="BB124" s="96">
        <v>0</v>
      </c>
      <c r="BC124" s="104">
        <v>0</v>
      </c>
      <c r="BD124" s="104">
        <v>995000</v>
      </c>
      <c r="BE124" s="96">
        <v>3000</v>
      </c>
      <c r="BF124" s="96">
        <v>0</v>
      </c>
      <c r="BG124" s="96">
        <v>0</v>
      </c>
      <c r="BH124" s="96">
        <v>0</v>
      </c>
      <c r="BI124" s="96">
        <v>0</v>
      </c>
      <c r="BJ124" s="96">
        <v>745000</v>
      </c>
      <c r="BK124" s="96">
        <v>0</v>
      </c>
      <c r="BL124" s="104">
        <v>748000</v>
      </c>
      <c r="BM124" s="104">
        <v>247000</v>
      </c>
      <c r="BN124" s="96">
        <v>3365000</v>
      </c>
      <c r="BO124" s="96">
        <v>0</v>
      </c>
      <c r="BP124" s="96">
        <v>3612000</v>
      </c>
      <c r="BQ124" s="96">
        <v>0</v>
      </c>
      <c r="BR124" s="96">
        <v>0</v>
      </c>
      <c r="BS124" s="104">
        <v>3612000</v>
      </c>
      <c r="BT124" s="105">
        <v>0.248</v>
      </c>
      <c r="BU124" s="105">
        <v>0</v>
      </c>
      <c r="BV124" s="105">
        <v>0.248</v>
      </c>
      <c r="BW124" s="106">
        <v>0</v>
      </c>
      <c r="BX124" s="107">
        <v>0</v>
      </c>
      <c r="BY124" s="107">
        <v>0</v>
      </c>
      <c r="BZ124" s="108">
        <v>0</v>
      </c>
      <c r="CA124" s="109">
        <v>0</v>
      </c>
      <c r="CB124" s="109">
        <v>0</v>
      </c>
      <c r="CC124" s="110">
        <v>0</v>
      </c>
      <c r="CD124" s="111">
        <v>0</v>
      </c>
      <c r="CE124" s="109">
        <v>0</v>
      </c>
      <c r="CF124" s="104">
        <v>-4087000</v>
      </c>
      <c r="CG124" s="109">
        <v>-6.7000000000000004E-2</v>
      </c>
      <c r="CH124" s="109">
        <v>0</v>
      </c>
      <c r="CI124" s="109">
        <v>-6.8000000000000005E-2</v>
      </c>
    </row>
    <row r="125" spans="1:87" s="222" customFormat="1" ht="22.8" x14ac:dyDescent="0.3">
      <c r="A125" s="14">
        <v>16665</v>
      </c>
      <c r="B125" s="14" t="s">
        <v>90</v>
      </c>
      <c r="C125" s="14" t="s">
        <v>75</v>
      </c>
      <c r="D125" s="14">
        <v>16665</v>
      </c>
      <c r="E125" s="14">
        <v>2025</v>
      </c>
      <c r="F125" s="14" t="s">
        <v>275</v>
      </c>
      <c r="G125" s="14">
        <v>2</v>
      </c>
      <c r="H125" s="14">
        <v>6</v>
      </c>
      <c r="I125" s="14" t="s">
        <v>709</v>
      </c>
      <c r="J125" s="96">
        <v>363417000</v>
      </c>
      <c r="K125" s="96">
        <v>2247198000</v>
      </c>
      <c r="L125" s="96">
        <v>0</v>
      </c>
      <c r="M125" s="96">
        <v>955606000</v>
      </c>
      <c r="N125" s="96">
        <v>0</v>
      </c>
      <c r="O125" s="96">
        <v>0</v>
      </c>
      <c r="P125" s="96">
        <v>465967000</v>
      </c>
      <c r="Q125" s="104">
        <v>4032188000</v>
      </c>
      <c r="R125" s="96">
        <v>1095466000</v>
      </c>
      <c r="S125" s="96">
        <v>99995000</v>
      </c>
      <c r="T125" s="96">
        <v>0</v>
      </c>
      <c r="U125" s="96">
        <v>0</v>
      </c>
      <c r="V125" s="96">
        <v>8189730000</v>
      </c>
      <c r="W125" s="96">
        <v>5323460000</v>
      </c>
      <c r="X125" s="104">
        <v>2866270000</v>
      </c>
      <c r="Y125" s="96">
        <v>1242297000</v>
      </c>
      <c r="Z125" s="104">
        <v>5304028000</v>
      </c>
      <c r="AA125" s="104">
        <v>9336216000</v>
      </c>
      <c r="AB125" s="96">
        <v>40872000</v>
      </c>
      <c r="AC125" s="96">
        <v>152972000</v>
      </c>
      <c r="AD125" s="96">
        <v>0</v>
      </c>
      <c r="AE125" s="96">
        <v>1497129000</v>
      </c>
      <c r="AF125" s="104">
        <v>1690973000</v>
      </c>
      <c r="AG125" s="96">
        <v>1974034000</v>
      </c>
      <c r="AH125" s="96">
        <v>0</v>
      </c>
      <c r="AI125" s="96">
        <v>1299826000</v>
      </c>
      <c r="AJ125" s="104">
        <v>3273860000</v>
      </c>
      <c r="AK125" s="104">
        <v>4964833000</v>
      </c>
      <c r="AL125" s="96">
        <v>3373540000</v>
      </c>
      <c r="AM125" s="96">
        <v>670677000</v>
      </c>
      <c r="AN125" s="96">
        <v>327166000</v>
      </c>
      <c r="AO125" s="104">
        <v>4371383000</v>
      </c>
      <c r="AP125" s="104">
        <v>9336216000</v>
      </c>
      <c r="AQ125" s="96">
        <v>3761710000</v>
      </c>
      <c r="AR125" s="96">
        <v>0</v>
      </c>
      <c r="AS125" s="96">
        <v>968471000</v>
      </c>
      <c r="AT125" s="96">
        <v>0</v>
      </c>
      <c r="AU125" s="96">
        <v>0</v>
      </c>
      <c r="AV125" s="96">
        <v>0</v>
      </c>
      <c r="AW125" s="104">
        <v>4730181000</v>
      </c>
      <c r="AX125" s="96">
        <v>74097000</v>
      </c>
      <c r="AY125" s="96">
        <v>0</v>
      </c>
      <c r="AZ125" s="96">
        <v>-6428000</v>
      </c>
      <c r="BA125" s="96">
        <v>-8282000</v>
      </c>
      <c r="BB125" s="96">
        <v>838000</v>
      </c>
      <c r="BC125" s="104">
        <v>60225000</v>
      </c>
      <c r="BD125" s="104">
        <v>4790406000</v>
      </c>
      <c r="BE125" s="96">
        <v>2600989000</v>
      </c>
      <c r="BF125" s="96">
        <v>0</v>
      </c>
      <c r="BG125" s="96">
        <v>166030000</v>
      </c>
      <c r="BH125" s="96">
        <v>40616000</v>
      </c>
      <c r="BI125" s="96">
        <v>48790000</v>
      </c>
      <c r="BJ125" s="96">
        <v>1858262000</v>
      </c>
      <c r="BK125" s="96">
        <v>0</v>
      </c>
      <c r="BL125" s="104">
        <v>4714687000</v>
      </c>
      <c r="BM125" s="104">
        <v>75719000</v>
      </c>
      <c r="BN125" s="96">
        <v>2401000</v>
      </c>
      <c r="BO125" s="96">
        <v>14831000</v>
      </c>
      <c r="BP125" s="96">
        <v>92951000</v>
      </c>
      <c r="BQ125" s="96">
        <v>0</v>
      </c>
      <c r="BR125" s="96">
        <v>0</v>
      </c>
      <c r="BS125" s="104">
        <v>92951000</v>
      </c>
      <c r="BT125" s="105">
        <v>3.0000000000000001E-3</v>
      </c>
      <c r="BU125" s="105">
        <v>1.2999999999999999E-2</v>
      </c>
      <c r="BV125" s="105">
        <v>1.6E-2</v>
      </c>
      <c r="BW125" s="106">
        <v>2.4</v>
      </c>
      <c r="BX125" s="107">
        <v>46</v>
      </c>
      <c r="BY125" s="107">
        <v>62</v>
      </c>
      <c r="BZ125" s="108">
        <v>3.5</v>
      </c>
      <c r="CA125" s="109">
        <v>6.8000000000000005E-2</v>
      </c>
      <c r="CB125" s="109">
        <v>0.46800000000000003</v>
      </c>
      <c r="CC125" s="110">
        <v>32</v>
      </c>
      <c r="CD125" s="111">
        <v>105</v>
      </c>
      <c r="CE125" s="109">
        <v>0.36899999999999999</v>
      </c>
      <c r="CF125" s="104">
        <v>0</v>
      </c>
      <c r="CG125" s="109">
        <v>0</v>
      </c>
      <c r="CH125" s="109">
        <v>-321752</v>
      </c>
      <c r="CI125" s="109">
        <v>1.371</v>
      </c>
    </row>
    <row r="126" spans="1:87" s="222" customFormat="1" ht="22.8" x14ac:dyDescent="0.3">
      <c r="A126" s="14">
        <v>21965</v>
      </c>
      <c r="B126" s="14" t="s">
        <v>207</v>
      </c>
      <c r="C126" s="14" t="s">
        <v>77</v>
      </c>
      <c r="D126" s="14">
        <v>3106</v>
      </c>
      <c r="E126" s="14">
        <v>2025</v>
      </c>
      <c r="F126" s="14" t="s">
        <v>275</v>
      </c>
      <c r="G126" s="14">
        <v>2</v>
      </c>
      <c r="H126" s="14">
        <v>6</v>
      </c>
      <c r="I126" s="14" t="s">
        <v>709</v>
      </c>
      <c r="J126" s="96">
        <v>-165954</v>
      </c>
      <c r="K126" s="96">
        <v>0</v>
      </c>
      <c r="L126" s="96">
        <v>0</v>
      </c>
      <c r="M126" s="96">
        <v>11694549</v>
      </c>
      <c r="N126" s="96">
        <v>0</v>
      </c>
      <c r="O126" s="96">
        <v>0</v>
      </c>
      <c r="P126" s="96">
        <v>898707</v>
      </c>
      <c r="Q126" s="104">
        <v>12427302</v>
      </c>
      <c r="R126" s="96">
        <v>0</v>
      </c>
      <c r="S126" s="96">
        <v>0</v>
      </c>
      <c r="T126" s="96">
        <v>0</v>
      </c>
      <c r="U126" s="96">
        <v>0</v>
      </c>
      <c r="V126" s="96">
        <v>31206145</v>
      </c>
      <c r="W126" s="96">
        <v>13596029</v>
      </c>
      <c r="X126" s="104">
        <v>17610116</v>
      </c>
      <c r="Y126" s="96">
        <v>422493</v>
      </c>
      <c r="Z126" s="104">
        <v>18032609</v>
      </c>
      <c r="AA126" s="104">
        <v>30459911</v>
      </c>
      <c r="AB126" s="96">
        <v>0</v>
      </c>
      <c r="AC126" s="96">
        <v>2843973</v>
      </c>
      <c r="AD126" s="96">
        <v>25605878</v>
      </c>
      <c r="AE126" s="96">
        <v>2555664</v>
      </c>
      <c r="AF126" s="104">
        <v>31005515</v>
      </c>
      <c r="AG126" s="96">
        <v>0</v>
      </c>
      <c r="AH126" s="96">
        <v>0</v>
      </c>
      <c r="AI126" s="96">
        <v>956580</v>
      </c>
      <c r="AJ126" s="104">
        <v>956580</v>
      </c>
      <c r="AK126" s="104">
        <v>31962095</v>
      </c>
      <c r="AL126" s="96">
        <v>-1512184</v>
      </c>
      <c r="AM126" s="96">
        <v>10000</v>
      </c>
      <c r="AN126" s="96">
        <v>0</v>
      </c>
      <c r="AO126" s="104">
        <v>-1502184</v>
      </c>
      <c r="AP126" s="104">
        <v>30459911</v>
      </c>
      <c r="AQ126" s="96">
        <v>28056721</v>
      </c>
      <c r="AR126" s="96">
        <v>0</v>
      </c>
      <c r="AS126" s="96">
        <v>734915</v>
      </c>
      <c r="AT126" s="96">
        <v>0</v>
      </c>
      <c r="AU126" s="96">
        <v>0</v>
      </c>
      <c r="AV126" s="96">
        <v>0</v>
      </c>
      <c r="AW126" s="104">
        <v>28791636</v>
      </c>
      <c r="AX126" s="96">
        <v>0</v>
      </c>
      <c r="AY126" s="96">
        <v>0</v>
      </c>
      <c r="AZ126" s="96">
        <v>0</v>
      </c>
      <c r="BA126" s="96">
        <v>0</v>
      </c>
      <c r="BB126" s="96">
        <v>0</v>
      </c>
      <c r="BC126" s="104">
        <v>0</v>
      </c>
      <c r="BD126" s="104">
        <v>28791636</v>
      </c>
      <c r="BE126" s="96">
        <v>10556567</v>
      </c>
      <c r="BF126" s="96">
        <v>0</v>
      </c>
      <c r="BG126" s="96">
        <v>1291199</v>
      </c>
      <c r="BH126" s="96">
        <v>0</v>
      </c>
      <c r="BI126" s="96">
        <v>496104</v>
      </c>
      <c r="BJ126" s="96">
        <v>12163644</v>
      </c>
      <c r="BK126" s="96">
        <v>0</v>
      </c>
      <c r="BL126" s="104">
        <v>24507514</v>
      </c>
      <c r="BM126" s="104">
        <v>4284122</v>
      </c>
      <c r="BN126" s="96">
        <v>0</v>
      </c>
      <c r="BO126" s="96">
        <v>0</v>
      </c>
      <c r="BP126" s="96">
        <v>4284122</v>
      </c>
      <c r="BQ126" s="96">
        <v>0</v>
      </c>
      <c r="BR126" s="96">
        <v>0</v>
      </c>
      <c r="BS126" s="104">
        <v>4284122</v>
      </c>
      <c r="BT126" s="105">
        <v>0.14899999999999999</v>
      </c>
      <c r="BU126" s="105">
        <v>0</v>
      </c>
      <c r="BV126" s="105">
        <v>0.14899999999999999</v>
      </c>
      <c r="BW126" s="106">
        <v>0.4</v>
      </c>
      <c r="BX126" s="107">
        <v>76</v>
      </c>
      <c r="BY126" s="107">
        <v>221</v>
      </c>
      <c r="BZ126" s="108">
        <v>0</v>
      </c>
      <c r="CA126" s="109">
        <v>0.18</v>
      </c>
      <c r="CB126" s="109">
        <v>-4.9000000000000002E-2</v>
      </c>
      <c r="CC126" s="110">
        <v>11</v>
      </c>
      <c r="CD126" s="111">
        <v>-1</v>
      </c>
      <c r="CE126" s="109">
        <v>0</v>
      </c>
      <c r="CF126" s="104">
        <v>0</v>
      </c>
      <c r="CG126" s="109">
        <v>0</v>
      </c>
      <c r="CH126" s="109">
        <v>-3537527</v>
      </c>
      <c r="CI126" s="109">
        <v>-0.22</v>
      </c>
    </row>
    <row r="127" spans="1:87" s="222" customFormat="1" ht="22.8" x14ac:dyDescent="0.3">
      <c r="A127" s="57">
        <v>22350</v>
      </c>
      <c r="B127" s="57" t="s">
        <v>174</v>
      </c>
      <c r="C127" s="57" t="s">
        <v>75</v>
      </c>
      <c r="D127" s="57">
        <v>22350</v>
      </c>
      <c r="E127" s="57">
        <v>2025</v>
      </c>
      <c r="F127" s="57" t="s">
        <v>275</v>
      </c>
      <c r="G127" s="57">
        <v>2</v>
      </c>
      <c r="H127" s="57">
        <v>6</v>
      </c>
      <c r="I127" s="57" t="s">
        <v>709</v>
      </c>
      <c r="J127" s="100">
        <v>317754000</v>
      </c>
      <c r="K127" s="100">
        <v>0</v>
      </c>
      <c r="L127" s="100">
        <v>73379000</v>
      </c>
      <c r="M127" s="100">
        <v>421728000</v>
      </c>
      <c r="N127" s="100">
        <v>0</v>
      </c>
      <c r="O127" s="100">
        <v>0</v>
      </c>
      <c r="P127" s="100">
        <v>283934000</v>
      </c>
      <c r="Q127" s="104">
        <v>1096795000</v>
      </c>
      <c r="R127" s="100">
        <v>2079974000</v>
      </c>
      <c r="S127" s="100">
        <v>0</v>
      </c>
      <c r="T127" s="100">
        <v>0</v>
      </c>
      <c r="U127" s="100">
        <v>0</v>
      </c>
      <c r="V127" s="100">
        <v>980113000</v>
      </c>
      <c r="W127" s="100">
        <v>0</v>
      </c>
      <c r="X127" s="104">
        <v>980113000</v>
      </c>
      <c r="Y127" s="100">
        <v>243575000</v>
      </c>
      <c r="Z127" s="104">
        <v>3303662000</v>
      </c>
      <c r="AA127" s="104">
        <v>4400457000</v>
      </c>
      <c r="AB127" s="100">
        <v>200374000</v>
      </c>
      <c r="AC127" s="100">
        <v>57071000</v>
      </c>
      <c r="AD127" s="100">
        <v>0</v>
      </c>
      <c r="AE127" s="100">
        <v>598876000</v>
      </c>
      <c r="AF127" s="104">
        <v>856321000</v>
      </c>
      <c r="AG127" s="100">
        <v>1016767000</v>
      </c>
      <c r="AH127" s="100">
        <v>0</v>
      </c>
      <c r="AI127" s="100">
        <v>413764000</v>
      </c>
      <c r="AJ127" s="104">
        <v>1430531000</v>
      </c>
      <c r="AK127" s="104">
        <v>2286852000</v>
      </c>
      <c r="AL127" s="100">
        <v>1339777000</v>
      </c>
      <c r="AM127" s="100">
        <v>773828000</v>
      </c>
      <c r="AN127" s="100">
        <v>0</v>
      </c>
      <c r="AO127" s="104">
        <v>2113605000</v>
      </c>
      <c r="AP127" s="104">
        <v>4400457000</v>
      </c>
      <c r="AQ127" s="100">
        <v>1826388000</v>
      </c>
      <c r="AR127" s="100">
        <v>0</v>
      </c>
      <c r="AS127" s="100">
        <v>305512000</v>
      </c>
      <c r="AT127" s="100">
        <v>0</v>
      </c>
      <c r="AU127" s="100">
        <v>0</v>
      </c>
      <c r="AV127" s="100">
        <v>21132000</v>
      </c>
      <c r="AW127" s="104">
        <v>2153032000</v>
      </c>
      <c r="AX127" s="100">
        <v>2631000</v>
      </c>
      <c r="AY127" s="100">
        <v>1782000</v>
      </c>
      <c r="AZ127" s="100">
        <v>0</v>
      </c>
      <c r="BA127" s="100">
        <v>-9108000</v>
      </c>
      <c r="BB127" s="100">
        <v>-2846000</v>
      </c>
      <c r="BC127" s="104">
        <v>-7541000</v>
      </c>
      <c r="BD127" s="104">
        <v>2145491000</v>
      </c>
      <c r="BE127" s="100">
        <v>1224888000</v>
      </c>
      <c r="BF127" s="100">
        <v>0</v>
      </c>
      <c r="BG127" s="100">
        <v>56722000</v>
      </c>
      <c r="BH127" s="100">
        <v>15927000</v>
      </c>
      <c r="BI127" s="100">
        <v>6918000</v>
      </c>
      <c r="BJ127" s="100">
        <v>822051000</v>
      </c>
      <c r="BK127" s="100">
        <v>0</v>
      </c>
      <c r="BL127" s="104">
        <v>2126506000</v>
      </c>
      <c r="BM127" s="104">
        <v>18985000</v>
      </c>
      <c r="BN127" s="100">
        <v>0</v>
      </c>
      <c r="BO127" s="100">
        <v>19274000</v>
      </c>
      <c r="BP127" s="100">
        <v>38259000</v>
      </c>
      <c r="BQ127" s="100">
        <v>0</v>
      </c>
      <c r="BR127" s="100">
        <v>0</v>
      </c>
      <c r="BS127" s="104">
        <v>38259000</v>
      </c>
      <c r="BT127" s="105">
        <v>1.2E-2</v>
      </c>
      <c r="BU127" s="105">
        <v>-4.0000000000000001E-3</v>
      </c>
      <c r="BV127" s="105">
        <v>8.9999999999999993E-3</v>
      </c>
      <c r="BW127" s="106">
        <v>1.3</v>
      </c>
      <c r="BX127" s="107">
        <v>42</v>
      </c>
      <c r="BY127" s="107">
        <v>70</v>
      </c>
      <c r="BZ127" s="108">
        <v>0.4</v>
      </c>
      <c r="CA127" s="109">
        <v>0.04</v>
      </c>
      <c r="CB127" s="109">
        <v>0.48</v>
      </c>
      <c r="CC127" s="110">
        <v>0</v>
      </c>
      <c r="CD127" s="111">
        <v>28</v>
      </c>
      <c r="CE127" s="109">
        <v>0.43099999999999999</v>
      </c>
      <c r="CF127" s="104">
        <v>0</v>
      </c>
      <c r="CG127" s="109">
        <v>0</v>
      </c>
      <c r="CH127" s="109">
        <v>-5257627</v>
      </c>
      <c r="CI127" s="109">
        <v>-0.95399999999999996</v>
      </c>
    </row>
    <row r="128" spans="1:87" s="222" customFormat="1" ht="22.8" x14ac:dyDescent="0.3">
      <c r="A128" s="14">
        <v>22406</v>
      </c>
      <c r="B128" s="14" t="s">
        <v>699</v>
      </c>
      <c r="C128" s="14" t="s">
        <v>83</v>
      </c>
      <c r="D128" s="14">
        <v>22350</v>
      </c>
      <c r="E128" s="14">
        <v>2025</v>
      </c>
      <c r="F128" s="14" t="s">
        <v>275</v>
      </c>
      <c r="G128" s="14">
        <v>2</v>
      </c>
      <c r="H128" s="14">
        <v>6</v>
      </c>
      <c r="I128" s="14" t="s">
        <v>709</v>
      </c>
      <c r="J128" s="96">
        <v>0</v>
      </c>
      <c r="K128" s="96">
        <v>0</v>
      </c>
      <c r="L128" s="96">
        <v>0</v>
      </c>
      <c r="M128" s="96">
        <v>0</v>
      </c>
      <c r="N128" s="96">
        <v>0</v>
      </c>
      <c r="O128" s="96">
        <v>0</v>
      </c>
      <c r="P128" s="96">
        <v>0</v>
      </c>
      <c r="Q128" s="104">
        <v>0</v>
      </c>
      <c r="R128" s="96">
        <v>0</v>
      </c>
      <c r="S128" s="96">
        <v>0</v>
      </c>
      <c r="T128" s="96">
        <v>0</v>
      </c>
      <c r="U128" s="96">
        <v>0</v>
      </c>
      <c r="V128" s="96">
        <v>0</v>
      </c>
      <c r="W128" s="96">
        <v>0</v>
      </c>
      <c r="X128" s="104">
        <v>0</v>
      </c>
      <c r="Y128" s="96">
        <v>0</v>
      </c>
      <c r="Z128" s="104">
        <v>0</v>
      </c>
      <c r="AA128" s="104">
        <v>0</v>
      </c>
      <c r="AB128" s="96">
        <v>0</v>
      </c>
      <c r="AC128" s="96">
        <v>0</v>
      </c>
      <c r="AD128" s="96">
        <v>0</v>
      </c>
      <c r="AE128" s="96">
        <v>0</v>
      </c>
      <c r="AF128" s="104">
        <v>0</v>
      </c>
      <c r="AG128" s="96">
        <v>0</v>
      </c>
      <c r="AH128" s="96">
        <v>0</v>
      </c>
      <c r="AI128" s="96">
        <v>0</v>
      </c>
      <c r="AJ128" s="104">
        <v>0</v>
      </c>
      <c r="AK128" s="104">
        <v>0</v>
      </c>
      <c r="AL128" s="96">
        <v>0</v>
      </c>
      <c r="AM128" s="96">
        <v>0</v>
      </c>
      <c r="AN128" s="96">
        <v>0</v>
      </c>
      <c r="AO128" s="104">
        <v>0</v>
      </c>
      <c r="AP128" s="104">
        <v>0</v>
      </c>
      <c r="AQ128" s="96">
        <v>79066000</v>
      </c>
      <c r="AR128" s="96">
        <v>0</v>
      </c>
      <c r="AS128" s="96">
        <v>1067000</v>
      </c>
      <c r="AT128" s="96">
        <v>0</v>
      </c>
      <c r="AU128" s="96">
        <v>0</v>
      </c>
      <c r="AV128" s="96">
        <v>0</v>
      </c>
      <c r="AW128" s="104">
        <v>80133000</v>
      </c>
      <c r="AX128" s="96">
        <v>0</v>
      </c>
      <c r="AY128" s="96">
        <v>0</v>
      </c>
      <c r="AZ128" s="96">
        <v>0</v>
      </c>
      <c r="BA128" s="96">
        <v>0</v>
      </c>
      <c r="BB128" s="96">
        <v>0</v>
      </c>
      <c r="BC128" s="104">
        <v>0</v>
      </c>
      <c r="BD128" s="104">
        <v>80133000</v>
      </c>
      <c r="BE128" s="96">
        <v>54219000</v>
      </c>
      <c r="BF128" s="96">
        <v>12774000</v>
      </c>
      <c r="BG128" s="96">
        <v>342000</v>
      </c>
      <c r="BH128" s="96">
        <v>0</v>
      </c>
      <c r="BI128" s="96">
        <v>0</v>
      </c>
      <c r="BJ128" s="96">
        <v>44078000</v>
      </c>
      <c r="BK128" s="96">
        <v>0</v>
      </c>
      <c r="BL128" s="104">
        <v>111413000</v>
      </c>
      <c r="BM128" s="104">
        <v>-31280000</v>
      </c>
      <c r="BN128" s="96">
        <v>31280000</v>
      </c>
      <c r="BO128" s="96">
        <v>0</v>
      </c>
      <c r="BP128" s="96">
        <v>0</v>
      </c>
      <c r="BQ128" s="96">
        <v>0</v>
      </c>
      <c r="BR128" s="96">
        <v>0</v>
      </c>
      <c r="BS128" s="104">
        <v>0</v>
      </c>
      <c r="BT128" s="105">
        <v>-0.39</v>
      </c>
      <c r="BU128" s="105">
        <v>0</v>
      </c>
      <c r="BV128" s="105">
        <v>-0.39</v>
      </c>
      <c r="BW128" s="106">
        <v>0</v>
      </c>
      <c r="BX128" s="107">
        <v>0</v>
      </c>
      <c r="BY128" s="107">
        <v>0</v>
      </c>
      <c r="BZ128" s="108">
        <v>0</v>
      </c>
      <c r="CA128" s="109">
        <v>0</v>
      </c>
      <c r="CB128" s="109">
        <v>0</v>
      </c>
      <c r="CC128" s="110">
        <v>0</v>
      </c>
      <c r="CD128" s="111">
        <v>0</v>
      </c>
      <c r="CE128" s="109">
        <v>0</v>
      </c>
      <c r="CF128" s="104">
        <v>0</v>
      </c>
      <c r="CG128" s="109">
        <v>0</v>
      </c>
      <c r="CH128" s="109">
        <v>-20111067</v>
      </c>
      <c r="CI128" s="109">
        <v>-0.318</v>
      </c>
    </row>
    <row r="129" spans="1:87" s="222" customFormat="1" x14ac:dyDescent="0.3">
      <c r="A129" s="57"/>
      <c r="B129" s="57"/>
      <c r="C129" s="57"/>
      <c r="D129" s="57"/>
      <c r="E129" s="57"/>
      <c r="F129" s="57"/>
      <c r="G129" s="57"/>
      <c r="H129" s="57"/>
      <c r="I129" s="57"/>
      <c r="J129" s="100"/>
      <c r="K129" s="100"/>
      <c r="L129" s="100"/>
      <c r="M129" s="100"/>
      <c r="N129" s="100"/>
      <c r="O129" s="100"/>
      <c r="P129" s="100"/>
      <c r="Q129" s="104"/>
      <c r="R129" s="100"/>
      <c r="S129" s="100"/>
      <c r="T129" s="100"/>
      <c r="U129" s="100"/>
      <c r="V129" s="100"/>
      <c r="W129" s="100"/>
      <c r="X129" s="104"/>
      <c r="Y129" s="100"/>
      <c r="Z129" s="104"/>
      <c r="AA129" s="104"/>
      <c r="AB129" s="100"/>
      <c r="AC129" s="100"/>
      <c r="AD129" s="100"/>
      <c r="AE129" s="100"/>
      <c r="AF129" s="104"/>
      <c r="AG129" s="100"/>
      <c r="AH129" s="100"/>
      <c r="AI129" s="100"/>
      <c r="AJ129" s="104"/>
      <c r="AK129" s="104"/>
      <c r="AL129" s="100"/>
      <c r="AM129" s="100"/>
      <c r="AN129" s="100"/>
      <c r="AO129" s="104"/>
      <c r="AP129" s="104"/>
      <c r="AQ129" s="100"/>
      <c r="AR129" s="100"/>
      <c r="AS129" s="100"/>
      <c r="AT129" s="100"/>
      <c r="AU129" s="100"/>
      <c r="AV129" s="100"/>
      <c r="AW129" s="104"/>
      <c r="AX129" s="100"/>
      <c r="AY129" s="100"/>
      <c r="AZ129" s="100"/>
      <c r="BA129" s="100"/>
      <c r="BB129" s="100"/>
      <c r="BC129" s="104"/>
      <c r="BD129" s="104"/>
      <c r="BE129" s="100"/>
      <c r="BF129" s="100"/>
      <c r="BG129" s="100"/>
      <c r="BH129" s="100"/>
      <c r="BI129" s="100"/>
      <c r="BJ129" s="100"/>
      <c r="BK129" s="100"/>
      <c r="BL129" s="104"/>
      <c r="BM129" s="104"/>
      <c r="BN129" s="100"/>
      <c r="BO129" s="100"/>
      <c r="BP129" s="100"/>
      <c r="BQ129" s="100"/>
      <c r="BR129" s="100"/>
      <c r="BS129" s="104"/>
      <c r="BT129" s="109"/>
      <c r="BU129" s="109"/>
      <c r="BV129" s="109"/>
      <c r="BW129" s="106"/>
      <c r="BX129" s="107"/>
      <c r="BY129" s="107"/>
      <c r="BZ129" s="108"/>
      <c r="CA129" s="109"/>
      <c r="CB129" s="109"/>
      <c r="CC129" s="110"/>
      <c r="CD129" s="110"/>
      <c r="CE129" s="110"/>
      <c r="CF129" s="104"/>
      <c r="CG129" s="109"/>
      <c r="CH129" s="109"/>
      <c r="CI129" s="109"/>
    </row>
    <row r="130" spans="1:87" s="222" customFormat="1" x14ac:dyDescent="0.3">
      <c r="A130" s="57"/>
      <c r="B130" s="57"/>
      <c r="C130" s="57"/>
      <c r="D130" s="57"/>
      <c r="E130" s="57"/>
      <c r="F130" s="57"/>
      <c r="G130" s="57"/>
      <c r="H130" s="57"/>
      <c r="I130" s="57"/>
      <c r="J130" s="100"/>
      <c r="K130" s="100"/>
      <c r="L130" s="100"/>
      <c r="M130" s="100"/>
      <c r="N130" s="100"/>
      <c r="O130" s="100"/>
      <c r="P130" s="100"/>
      <c r="Q130" s="104"/>
      <c r="R130" s="100"/>
      <c r="S130" s="100"/>
      <c r="T130" s="100"/>
      <c r="U130" s="100"/>
      <c r="V130" s="100"/>
      <c r="W130" s="100"/>
      <c r="X130" s="104"/>
      <c r="Y130" s="100"/>
      <c r="Z130" s="104"/>
      <c r="AA130" s="104"/>
      <c r="AB130" s="100"/>
      <c r="AC130" s="100"/>
      <c r="AD130" s="100"/>
      <c r="AE130" s="100"/>
      <c r="AF130" s="104"/>
      <c r="AG130" s="100"/>
      <c r="AH130" s="100"/>
      <c r="AI130" s="100"/>
      <c r="AJ130" s="104"/>
      <c r="AK130" s="104"/>
      <c r="AL130" s="100"/>
      <c r="AM130" s="100"/>
      <c r="AN130" s="100"/>
      <c r="AO130" s="104"/>
      <c r="AP130" s="104"/>
      <c r="AQ130" s="100"/>
      <c r="AR130" s="100"/>
      <c r="AS130" s="100"/>
      <c r="AT130" s="100"/>
      <c r="AU130" s="100"/>
      <c r="AV130" s="100"/>
      <c r="AW130" s="104"/>
      <c r="AX130" s="100"/>
      <c r="AY130" s="100"/>
      <c r="AZ130" s="100"/>
      <c r="BA130" s="100"/>
      <c r="BB130" s="100"/>
      <c r="BC130" s="104"/>
      <c r="BD130" s="104"/>
      <c r="BE130" s="100"/>
      <c r="BF130" s="100"/>
      <c r="BG130" s="100"/>
      <c r="BH130" s="100"/>
      <c r="BI130" s="100"/>
      <c r="BJ130" s="100"/>
      <c r="BK130" s="100"/>
      <c r="BL130" s="104"/>
      <c r="BM130" s="104"/>
      <c r="BN130" s="100"/>
      <c r="BO130" s="100"/>
      <c r="BP130" s="100"/>
      <c r="BQ130" s="100"/>
      <c r="BR130" s="100"/>
      <c r="BS130" s="104"/>
      <c r="BT130" s="109"/>
      <c r="BU130" s="109"/>
      <c r="BV130" s="109"/>
      <c r="BW130" s="106"/>
      <c r="BX130" s="107"/>
      <c r="BY130" s="107"/>
      <c r="BZ130" s="108"/>
      <c r="CA130" s="109"/>
      <c r="CB130" s="109"/>
      <c r="CC130" s="110"/>
      <c r="CD130" s="110"/>
      <c r="CE130" s="110"/>
      <c r="CF130" s="104"/>
      <c r="CG130" s="109"/>
      <c r="CH130" s="109"/>
      <c r="CI130" s="109"/>
    </row>
    <row r="131" spans="1:87" s="222" customFormat="1" x14ac:dyDescent="0.3">
      <c r="A131" s="57"/>
      <c r="B131" s="57"/>
      <c r="C131" s="57"/>
      <c r="D131" s="57"/>
      <c r="E131" s="57"/>
      <c r="F131" s="57"/>
      <c r="G131" s="57"/>
      <c r="H131" s="57"/>
      <c r="I131" s="57"/>
      <c r="J131" s="100"/>
      <c r="K131" s="100"/>
      <c r="L131" s="100"/>
      <c r="M131" s="100"/>
      <c r="N131" s="100"/>
      <c r="O131" s="100"/>
      <c r="P131" s="100"/>
      <c r="Q131" s="104"/>
      <c r="R131" s="100"/>
      <c r="S131" s="100"/>
      <c r="T131" s="100"/>
      <c r="U131" s="100"/>
      <c r="V131" s="100"/>
      <c r="W131" s="100"/>
      <c r="X131" s="104"/>
      <c r="Y131" s="100"/>
      <c r="Z131" s="104"/>
      <c r="AA131" s="104"/>
      <c r="AB131" s="100"/>
      <c r="AC131" s="100"/>
      <c r="AD131" s="100"/>
      <c r="AE131" s="100"/>
      <c r="AF131" s="104"/>
      <c r="AG131" s="100"/>
      <c r="AH131" s="100"/>
      <c r="AI131" s="100"/>
      <c r="AJ131" s="104"/>
      <c r="AK131" s="104"/>
      <c r="AL131" s="100"/>
      <c r="AM131" s="100"/>
      <c r="AN131" s="100"/>
      <c r="AO131" s="104"/>
      <c r="AP131" s="104"/>
      <c r="AQ131" s="100"/>
      <c r="AR131" s="100"/>
      <c r="AS131" s="100"/>
      <c r="AT131" s="100"/>
      <c r="AU131" s="100"/>
      <c r="AV131" s="100"/>
      <c r="AW131" s="104"/>
      <c r="AX131" s="100"/>
      <c r="AY131" s="100"/>
      <c r="AZ131" s="100"/>
      <c r="BA131" s="100"/>
      <c r="BB131" s="100"/>
      <c r="BC131" s="104"/>
      <c r="BD131" s="104"/>
      <c r="BE131" s="100"/>
      <c r="BF131" s="100"/>
      <c r="BG131" s="100"/>
      <c r="BH131" s="100"/>
      <c r="BI131" s="100"/>
      <c r="BJ131" s="100"/>
      <c r="BK131" s="100"/>
      <c r="BL131" s="104"/>
      <c r="BM131" s="104"/>
      <c r="BN131" s="100"/>
      <c r="BO131" s="100"/>
      <c r="BP131" s="100"/>
      <c r="BQ131" s="100"/>
      <c r="BR131" s="100"/>
      <c r="BS131" s="104"/>
      <c r="BT131" s="109"/>
      <c r="BU131" s="109"/>
      <c r="BV131" s="109"/>
      <c r="BW131" s="106"/>
      <c r="BX131" s="107"/>
      <c r="BY131" s="107"/>
      <c r="BZ131" s="108"/>
      <c r="CA131" s="109"/>
      <c r="CB131" s="109"/>
      <c r="CC131" s="110"/>
      <c r="CD131" s="110"/>
      <c r="CE131" s="110"/>
      <c r="CF131" s="104"/>
      <c r="CG131" s="109"/>
      <c r="CH131" s="109"/>
      <c r="CI131" s="109"/>
    </row>
    <row r="132" spans="1:87" s="222" customFormat="1" x14ac:dyDescent="0.3">
      <c r="A132" s="213"/>
      <c r="B132" s="213"/>
      <c r="C132" s="213"/>
      <c r="D132" s="213"/>
      <c r="E132" s="213"/>
      <c r="F132" s="213"/>
      <c r="G132" s="213"/>
      <c r="H132" s="213"/>
      <c r="I132" s="213"/>
      <c r="J132" s="214"/>
      <c r="K132" s="214"/>
      <c r="L132" s="214"/>
      <c r="M132" s="215"/>
      <c r="N132" s="214"/>
      <c r="O132" s="214"/>
      <c r="P132" s="214"/>
      <c r="Q132" s="216"/>
      <c r="R132" s="214"/>
      <c r="S132" s="214"/>
      <c r="T132" s="214"/>
      <c r="U132" s="214"/>
      <c r="V132" s="214"/>
      <c r="W132" s="214"/>
      <c r="X132" s="216"/>
      <c r="Y132" s="214"/>
      <c r="Z132" s="216"/>
      <c r="AA132" s="216"/>
      <c r="AB132" s="214"/>
      <c r="AC132" s="214"/>
      <c r="AD132" s="214"/>
      <c r="AE132" s="214"/>
      <c r="AF132" s="216"/>
      <c r="AG132" s="214"/>
      <c r="AH132" s="214"/>
      <c r="AI132" s="214"/>
      <c r="AJ132" s="216"/>
      <c r="AK132" s="216"/>
      <c r="AL132" s="214"/>
      <c r="AM132" s="214"/>
      <c r="AN132" s="214"/>
      <c r="AO132" s="216"/>
      <c r="AP132" s="216"/>
      <c r="AQ132" s="214"/>
      <c r="AR132" s="214"/>
      <c r="AS132" s="214"/>
      <c r="AT132" s="214"/>
      <c r="AU132" s="214"/>
      <c r="AV132" s="214"/>
      <c r="AW132" s="216"/>
      <c r="AX132" s="214"/>
      <c r="AY132" s="214"/>
      <c r="AZ132" s="214"/>
      <c r="BA132" s="214"/>
      <c r="BB132" s="214"/>
      <c r="BC132" s="216"/>
      <c r="BD132" s="216"/>
      <c r="BE132" s="214"/>
      <c r="BF132" s="214"/>
      <c r="BG132" s="214"/>
      <c r="BH132" s="214"/>
      <c r="BI132" s="214"/>
      <c r="BJ132" s="214"/>
      <c r="BK132" s="214"/>
      <c r="BL132" s="216"/>
      <c r="BM132" s="216"/>
      <c r="BN132" s="214"/>
      <c r="BO132" s="214"/>
      <c r="BP132" s="214"/>
      <c r="BQ132" s="214"/>
      <c r="BR132" s="214"/>
      <c r="BS132" s="216"/>
      <c r="BT132" s="220"/>
      <c r="BU132" s="220"/>
      <c r="BV132" s="220"/>
      <c r="BW132" s="217"/>
      <c r="BX132" s="218"/>
      <c r="BY132" s="218"/>
      <c r="BZ132" s="219"/>
      <c r="CA132" s="220"/>
      <c r="CB132" s="220"/>
      <c r="CC132" s="221"/>
    </row>
    <row r="133" spans="1:87" s="222" customFormat="1" x14ac:dyDescent="0.3">
      <c r="A133" s="223"/>
      <c r="B133" s="223"/>
      <c r="C133" s="223"/>
      <c r="D133" s="223"/>
      <c r="E133" s="223"/>
      <c r="F133" s="223"/>
      <c r="G133" s="223"/>
      <c r="H133" s="223"/>
      <c r="I133" s="223"/>
      <c r="J133" s="224"/>
      <c r="K133" s="224"/>
      <c r="L133" s="224"/>
      <c r="M133" s="225"/>
      <c r="N133" s="224"/>
      <c r="O133" s="224"/>
      <c r="P133" s="224"/>
      <c r="Q133" s="216"/>
      <c r="R133" s="224"/>
      <c r="S133" s="224"/>
      <c r="T133" s="224"/>
      <c r="U133" s="224"/>
      <c r="V133" s="224"/>
      <c r="W133" s="224"/>
      <c r="X133" s="216"/>
      <c r="Y133" s="224"/>
      <c r="Z133" s="216"/>
      <c r="AA133" s="216"/>
      <c r="AB133" s="224"/>
      <c r="AC133" s="224"/>
      <c r="AD133" s="224"/>
      <c r="AE133" s="224"/>
      <c r="AF133" s="216"/>
      <c r="AG133" s="224"/>
      <c r="AH133" s="224"/>
      <c r="AI133" s="224"/>
      <c r="AJ133" s="216"/>
      <c r="AK133" s="216"/>
      <c r="AL133" s="224"/>
      <c r="AM133" s="224"/>
      <c r="AN133" s="224"/>
      <c r="AO133" s="216"/>
      <c r="AP133" s="216"/>
      <c r="AQ133" s="224"/>
      <c r="AR133" s="224"/>
      <c r="AS133" s="224"/>
      <c r="AT133" s="224"/>
      <c r="AU133" s="224"/>
      <c r="AV133" s="224"/>
      <c r="AW133" s="216"/>
      <c r="AX133" s="224"/>
      <c r="AY133" s="224"/>
      <c r="AZ133" s="224"/>
      <c r="BA133" s="224"/>
      <c r="BB133" s="224"/>
      <c r="BC133" s="216"/>
      <c r="BD133" s="216"/>
      <c r="BE133" s="224"/>
      <c r="BF133" s="224"/>
      <c r="BG133" s="224"/>
      <c r="BH133" s="224"/>
      <c r="BI133" s="224"/>
      <c r="BJ133" s="224"/>
      <c r="BK133" s="224"/>
      <c r="BL133" s="216"/>
      <c r="BM133" s="216"/>
      <c r="BN133" s="224"/>
      <c r="BO133" s="224"/>
      <c r="BP133" s="224"/>
      <c r="BQ133" s="224"/>
      <c r="BR133" s="224"/>
      <c r="BS133" s="216"/>
      <c r="BT133" s="220"/>
      <c r="BU133" s="220"/>
      <c r="BV133" s="220"/>
      <c r="BW133" s="217"/>
      <c r="BX133" s="218"/>
      <c r="BY133" s="218"/>
      <c r="BZ133" s="219"/>
      <c r="CA133" s="220"/>
      <c r="CB133" s="220"/>
      <c r="CC133" s="221"/>
    </row>
    <row r="134" spans="1:87" s="222" customFormat="1" x14ac:dyDescent="0.3">
      <c r="A134" s="213"/>
      <c r="B134" s="213"/>
      <c r="C134" s="213"/>
      <c r="D134" s="213"/>
      <c r="E134" s="213"/>
      <c r="F134" s="213"/>
      <c r="G134" s="213"/>
      <c r="H134" s="213"/>
      <c r="I134" s="213"/>
      <c r="J134" s="214"/>
      <c r="K134" s="214"/>
      <c r="L134" s="214"/>
      <c r="M134" s="215"/>
      <c r="N134" s="214"/>
      <c r="O134" s="214"/>
      <c r="P134" s="214"/>
      <c r="Q134" s="216"/>
      <c r="R134" s="214"/>
      <c r="S134" s="214"/>
      <c r="T134" s="214"/>
      <c r="U134" s="214"/>
      <c r="V134" s="214"/>
      <c r="W134" s="214"/>
      <c r="X134" s="216"/>
      <c r="Y134" s="214"/>
      <c r="Z134" s="216"/>
      <c r="AA134" s="216"/>
      <c r="AB134" s="214"/>
      <c r="AC134" s="214"/>
      <c r="AD134" s="214"/>
      <c r="AE134" s="214"/>
      <c r="AF134" s="216"/>
      <c r="AG134" s="214"/>
      <c r="AH134" s="214"/>
      <c r="AI134" s="214"/>
      <c r="AJ134" s="216"/>
      <c r="AK134" s="216"/>
      <c r="AL134" s="214"/>
      <c r="AM134" s="214"/>
      <c r="AN134" s="214"/>
      <c r="AO134" s="216"/>
      <c r="AP134" s="216"/>
      <c r="AQ134" s="214"/>
      <c r="AR134" s="214"/>
      <c r="AS134" s="214"/>
      <c r="AT134" s="214"/>
      <c r="AU134" s="214"/>
      <c r="AV134" s="214"/>
      <c r="AW134" s="216"/>
      <c r="AX134" s="214"/>
      <c r="AY134" s="214"/>
      <c r="AZ134" s="214"/>
      <c r="BA134" s="214"/>
      <c r="BB134" s="214"/>
      <c r="BC134" s="216"/>
      <c r="BD134" s="216"/>
      <c r="BE134" s="214"/>
      <c r="BF134" s="214"/>
      <c r="BG134" s="214"/>
      <c r="BH134" s="214"/>
      <c r="BI134" s="214"/>
      <c r="BJ134" s="214"/>
      <c r="BK134" s="214"/>
      <c r="BL134" s="216"/>
      <c r="BM134" s="216"/>
      <c r="BN134" s="214"/>
      <c r="BO134" s="214"/>
      <c r="BP134" s="214"/>
      <c r="BQ134" s="214"/>
      <c r="BR134" s="214"/>
      <c r="BS134" s="216"/>
      <c r="BT134" s="220"/>
      <c r="BU134" s="220"/>
      <c r="BV134" s="220"/>
      <c r="BW134" s="217"/>
      <c r="BX134" s="218"/>
      <c r="BY134" s="218"/>
      <c r="BZ134" s="219"/>
      <c r="CA134" s="220"/>
      <c r="CB134" s="220"/>
      <c r="CC134" s="221"/>
    </row>
    <row r="135" spans="1:87" s="222" customFormat="1" x14ac:dyDescent="0.3">
      <c r="A135" s="223"/>
      <c r="B135" s="223"/>
      <c r="C135" s="223"/>
      <c r="D135" s="223"/>
      <c r="E135" s="223"/>
      <c r="F135" s="223"/>
      <c r="G135" s="223"/>
      <c r="H135" s="223"/>
      <c r="I135" s="223"/>
      <c r="J135" s="224"/>
      <c r="K135" s="224"/>
      <c r="L135" s="224"/>
      <c r="M135" s="225"/>
      <c r="N135" s="224"/>
      <c r="O135" s="224"/>
      <c r="P135" s="224"/>
      <c r="Q135" s="216"/>
      <c r="R135" s="224"/>
      <c r="S135" s="224"/>
      <c r="T135" s="224"/>
      <c r="U135" s="224"/>
      <c r="V135" s="224"/>
      <c r="W135" s="224"/>
      <c r="X135" s="216"/>
      <c r="Y135" s="224"/>
      <c r="Z135" s="216"/>
      <c r="AA135" s="216"/>
      <c r="AB135" s="224"/>
      <c r="AC135" s="224"/>
      <c r="AD135" s="224"/>
      <c r="AE135" s="224"/>
      <c r="AF135" s="216"/>
      <c r="AG135" s="224"/>
      <c r="AH135" s="224"/>
      <c r="AI135" s="224"/>
      <c r="AJ135" s="216"/>
      <c r="AK135" s="216"/>
      <c r="AL135" s="224"/>
      <c r="AM135" s="224"/>
      <c r="AN135" s="224"/>
      <c r="AO135" s="216"/>
      <c r="AP135" s="216"/>
      <c r="AQ135" s="224"/>
      <c r="AR135" s="224"/>
      <c r="AS135" s="224"/>
      <c r="AT135" s="224"/>
      <c r="AU135" s="224"/>
      <c r="AV135" s="224"/>
      <c r="AW135" s="216"/>
      <c r="AX135" s="224"/>
      <c r="AY135" s="224"/>
      <c r="AZ135" s="224"/>
      <c r="BA135" s="224"/>
      <c r="BB135" s="224"/>
      <c r="BC135" s="216"/>
      <c r="BD135" s="216"/>
      <c r="BE135" s="224"/>
      <c r="BF135" s="224"/>
      <c r="BG135" s="224"/>
      <c r="BH135" s="224"/>
      <c r="BI135" s="224"/>
      <c r="BJ135" s="224"/>
      <c r="BK135" s="224"/>
      <c r="BL135" s="216"/>
      <c r="BM135" s="216"/>
      <c r="BN135" s="224"/>
      <c r="BO135" s="224"/>
      <c r="BP135" s="224"/>
      <c r="BQ135" s="224"/>
      <c r="BR135" s="224"/>
      <c r="BS135" s="216"/>
      <c r="BT135" s="220"/>
      <c r="BU135" s="220"/>
      <c r="BV135" s="220"/>
      <c r="BW135" s="217"/>
      <c r="BX135" s="218"/>
      <c r="BY135" s="218"/>
      <c r="BZ135" s="219"/>
      <c r="CA135" s="220"/>
      <c r="CB135" s="220"/>
      <c r="CC135" s="221"/>
    </row>
    <row r="136" spans="1:87" s="222" customFormat="1" x14ac:dyDescent="0.3">
      <c r="A136" s="213"/>
      <c r="B136" s="213"/>
      <c r="C136" s="213"/>
      <c r="D136" s="213"/>
      <c r="E136" s="213"/>
      <c r="F136" s="213"/>
      <c r="G136" s="213"/>
      <c r="H136" s="213"/>
      <c r="I136" s="213"/>
      <c r="J136" s="214"/>
      <c r="K136" s="214"/>
      <c r="L136" s="214"/>
      <c r="M136" s="215"/>
      <c r="N136" s="214"/>
      <c r="O136" s="214"/>
      <c r="P136" s="214"/>
      <c r="Q136" s="216"/>
      <c r="R136" s="214"/>
      <c r="S136" s="214"/>
      <c r="T136" s="214"/>
      <c r="U136" s="214"/>
      <c r="V136" s="214"/>
      <c r="W136" s="214"/>
      <c r="X136" s="216"/>
      <c r="Y136" s="214"/>
      <c r="Z136" s="216"/>
      <c r="AA136" s="216"/>
      <c r="AB136" s="214"/>
      <c r="AC136" s="214"/>
      <c r="AD136" s="214"/>
      <c r="AE136" s="214"/>
      <c r="AF136" s="216"/>
      <c r="AG136" s="214"/>
      <c r="AH136" s="214"/>
      <c r="AI136" s="214"/>
      <c r="AJ136" s="216"/>
      <c r="AK136" s="216"/>
      <c r="AL136" s="214"/>
      <c r="AM136" s="214"/>
      <c r="AN136" s="214"/>
      <c r="AO136" s="216"/>
      <c r="AP136" s="216"/>
      <c r="AQ136" s="214"/>
      <c r="AR136" s="214"/>
      <c r="AS136" s="214"/>
      <c r="AT136" s="214"/>
      <c r="AU136" s="214"/>
      <c r="AV136" s="214"/>
      <c r="AW136" s="216"/>
      <c r="AX136" s="214"/>
      <c r="AY136" s="214"/>
      <c r="AZ136" s="214"/>
      <c r="BA136" s="214"/>
      <c r="BB136" s="214"/>
      <c r="BC136" s="216"/>
      <c r="BD136" s="216"/>
      <c r="BE136" s="214"/>
      <c r="BF136" s="214"/>
      <c r="BG136" s="214"/>
      <c r="BH136" s="214"/>
      <c r="BI136" s="214"/>
      <c r="BJ136" s="214"/>
      <c r="BK136" s="214"/>
      <c r="BL136" s="216"/>
      <c r="BM136" s="216"/>
      <c r="BN136" s="214"/>
      <c r="BO136" s="214"/>
      <c r="BP136" s="214"/>
      <c r="BQ136" s="214"/>
      <c r="BR136" s="214"/>
      <c r="BS136" s="216"/>
      <c r="BT136" s="220"/>
      <c r="BU136" s="220"/>
      <c r="BV136" s="220"/>
      <c r="BW136" s="217"/>
      <c r="BX136" s="218"/>
      <c r="BY136" s="218"/>
      <c r="BZ136" s="219"/>
      <c r="CA136" s="220"/>
      <c r="CB136" s="220"/>
      <c r="CC136" s="221"/>
    </row>
    <row r="137" spans="1:87" s="222" customFormat="1" x14ac:dyDescent="0.3">
      <c r="A137" s="223"/>
      <c r="B137" s="223"/>
      <c r="C137" s="223"/>
      <c r="D137" s="223"/>
      <c r="E137" s="223"/>
      <c r="F137" s="223"/>
      <c r="G137" s="223"/>
      <c r="H137" s="223"/>
      <c r="I137" s="223"/>
      <c r="J137" s="224"/>
      <c r="K137" s="224"/>
      <c r="L137" s="224"/>
      <c r="M137" s="225"/>
      <c r="N137" s="224"/>
      <c r="O137" s="224"/>
      <c r="P137" s="224"/>
      <c r="Q137" s="216"/>
      <c r="R137" s="224"/>
      <c r="S137" s="224"/>
      <c r="T137" s="224"/>
      <c r="U137" s="224"/>
      <c r="V137" s="224"/>
      <c r="W137" s="224"/>
      <c r="X137" s="216"/>
      <c r="Y137" s="224"/>
      <c r="Z137" s="216"/>
      <c r="AA137" s="216"/>
      <c r="AB137" s="224"/>
      <c r="AC137" s="224"/>
      <c r="AD137" s="224"/>
      <c r="AE137" s="224"/>
      <c r="AF137" s="216"/>
      <c r="AG137" s="224"/>
      <c r="AH137" s="224"/>
      <c r="AI137" s="224"/>
      <c r="AJ137" s="216"/>
      <c r="AK137" s="216"/>
      <c r="AL137" s="224"/>
      <c r="AM137" s="224"/>
      <c r="AN137" s="224"/>
      <c r="AO137" s="216"/>
      <c r="AP137" s="216"/>
      <c r="AQ137" s="224"/>
      <c r="AR137" s="224"/>
      <c r="AS137" s="224"/>
      <c r="AT137" s="224"/>
      <c r="AU137" s="224"/>
      <c r="AV137" s="224"/>
      <c r="AW137" s="216"/>
      <c r="AX137" s="224"/>
      <c r="AY137" s="224"/>
      <c r="AZ137" s="224"/>
      <c r="BA137" s="224"/>
      <c r="BB137" s="224"/>
      <c r="BC137" s="216"/>
      <c r="BD137" s="216"/>
      <c r="BE137" s="224"/>
      <c r="BF137" s="224"/>
      <c r="BG137" s="224"/>
      <c r="BH137" s="224"/>
      <c r="BI137" s="224"/>
      <c r="BJ137" s="224"/>
      <c r="BK137" s="224"/>
      <c r="BL137" s="216"/>
      <c r="BM137" s="216"/>
      <c r="BN137" s="224"/>
      <c r="BO137" s="224"/>
      <c r="BP137" s="224"/>
      <c r="BQ137" s="224"/>
      <c r="BR137" s="224"/>
      <c r="BS137" s="216"/>
      <c r="BT137" s="220"/>
      <c r="BU137" s="220"/>
      <c r="BV137" s="220"/>
      <c r="BW137" s="217"/>
      <c r="BX137" s="218"/>
      <c r="BY137" s="218"/>
      <c r="BZ137" s="219"/>
      <c r="CA137" s="220"/>
      <c r="CB137" s="220"/>
      <c r="CC137" s="221"/>
    </row>
    <row r="138" spans="1:87" s="222" customFormat="1" x14ac:dyDescent="0.3">
      <c r="A138" s="213"/>
      <c r="B138" s="213"/>
      <c r="C138" s="213"/>
      <c r="D138" s="213"/>
      <c r="E138" s="213"/>
      <c r="F138" s="213"/>
      <c r="G138" s="213"/>
      <c r="H138" s="213"/>
      <c r="I138" s="213"/>
      <c r="J138" s="214"/>
      <c r="K138" s="214"/>
      <c r="L138" s="214"/>
      <c r="M138" s="215"/>
      <c r="N138" s="214"/>
      <c r="O138" s="214"/>
      <c r="P138" s="214"/>
      <c r="Q138" s="216"/>
      <c r="R138" s="214"/>
      <c r="S138" s="214"/>
      <c r="T138" s="214"/>
      <c r="U138" s="214"/>
      <c r="V138" s="214"/>
      <c r="W138" s="214"/>
      <c r="X138" s="216"/>
      <c r="Y138" s="214"/>
      <c r="Z138" s="216"/>
      <c r="AA138" s="216"/>
      <c r="AB138" s="214"/>
      <c r="AC138" s="214"/>
      <c r="AD138" s="214"/>
      <c r="AE138" s="214"/>
      <c r="AF138" s="216"/>
      <c r="AG138" s="214"/>
      <c r="AH138" s="214"/>
      <c r="AI138" s="214"/>
      <c r="AJ138" s="216"/>
      <c r="AK138" s="216"/>
      <c r="AL138" s="214"/>
      <c r="AM138" s="214"/>
      <c r="AN138" s="214"/>
      <c r="AO138" s="216"/>
      <c r="AP138" s="216"/>
      <c r="AQ138" s="214"/>
      <c r="AR138" s="214"/>
      <c r="AS138" s="214"/>
      <c r="AT138" s="214"/>
      <c r="AU138" s="214"/>
      <c r="AV138" s="214"/>
      <c r="AW138" s="216"/>
      <c r="AX138" s="214"/>
      <c r="AY138" s="214"/>
      <c r="AZ138" s="214"/>
      <c r="BA138" s="214"/>
      <c r="BB138" s="214"/>
      <c r="BC138" s="216"/>
      <c r="BD138" s="216"/>
      <c r="BE138" s="214"/>
      <c r="BF138" s="214"/>
      <c r="BG138" s="214"/>
      <c r="BH138" s="214"/>
      <c r="BI138" s="214"/>
      <c r="BJ138" s="214"/>
      <c r="BK138" s="214"/>
      <c r="BL138" s="216"/>
      <c r="BM138" s="216"/>
      <c r="BN138" s="214"/>
      <c r="BO138" s="214"/>
      <c r="BP138" s="214"/>
      <c r="BQ138" s="214"/>
      <c r="BR138" s="214"/>
      <c r="BS138" s="216"/>
      <c r="BT138" s="220"/>
      <c r="BU138" s="220"/>
      <c r="BV138" s="220"/>
      <c r="BW138" s="217"/>
      <c r="BX138" s="218"/>
      <c r="BY138" s="218"/>
      <c r="BZ138" s="219"/>
      <c r="CA138" s="220"/>
      <c r="CB138" s="220"/>
      <c r="CC138" s="221"/>
    </row>
    <row r="139" spans="1:87" s="222" customFormat="1" x14ac:dyDescent="0.3">
      <c r="A139" s="223"/>
      <c r="B139" s="223"/>
      <c r="C139" s="223"/>
      <c r="D139" s="223"/>
      <c r="E139" s="223"/>
      <c r="F139" s="223"/>
      <c r="G139" s="223"/>
      <c r="H139" s="223"/>
      <c r="I139" s="223"/>
      <c r="J139" s="224"/>
      <c r="K139" s="224"/>
      <c r="L139" s="224"/>
      <c r="M139" s="225"/>
      <c r="N139" s="224"/>
      <c r="O139" s="224"/>
      <c r="P139" s="224"/>
      <c r="Q139" s="216"/>
      <c r="R139" s="224"/>
      <c r="S139" s="224"/>
      <c r="T139" s="224"/>
      <c r="U139" s="224"/>
      <c r="V139" s="224"/>
      <c r="W139" s="224"/>
      <c r="X139" s="216"/>
      <c r="Y139" s="224"/>
      <c r="Z139" s="216"/>
      <c r="AA139" s="216"/>
      <c r="AB139" s="224"/>
      <c r="AC139" s="224"/>
      <c r="AD139" s="224"/>
      <c r="AE139" s="224"/>
      <c r="AF139" s="216"/>
      <c r="AG139" s="224"/>
      <c r="AH139" s="224"/>
      <c r="AI139" s="224"/>
      <c r="AJ139" s="216"/>
      <c r="AK139" s="216"/>
      <c r="AL139" s="224"/>
      <c r="AM139" s="224"/>
      <c r="AN139" s="224"/>
      <c r="AO139" s="216"/>
      <c r="AP139" s="216"/>
      <c r="AQ139" s="224"/>
      <c r="AR139" s="224"/>
      <c r="AS139" s="224"/>
      <c r="AT139" s="224"/>
      <c r="AU139" s="224"/>
      <c r="AV139" s="224"/>
      <c r="AW139" s="216"/>
      <c r="AX139" s="224"/>
      <c r="AY139" s="224"/>
      <c r="AZ139" s="224"/>
      <c r="BA139" s="224"/>
      <c r="BB139" s="224"/>
      <c r="BC139" s="216"/>
      <c r="BD139" s="216"/>
      <c r="BE139" s="224"/>
      <c r="BF139" s="224"/>
      <c r="BG139" s="224"/>
      <c r="BH139" s="224"/>
      <c r="BI139" s="224"/>
      <c r="BJ139" s="224"/>
      <c r="BK139" s="224"/>
      <c r="BL139" s="216"/>
      <c r="BM139" s="216"/>
      <c r="BN139" s="224"/>
      <c r="BO139" s="224"/>
      <c r="BP139" s="224"/>
      <c r="BQ139" s="224"/>
      <c r="BR139" s="224"/>
      <c r="BS139" s="216"/>
      <c r="BT139" s="220"/>
      <c r="BU139" s="220"/>
      <c r="BV139" s="220"/>
      <c r="BW139" s="217"/>
      <c r="BX139" s="218"/>
      <c r="BY139" s="218"/>
      <c r="BZ139" s="219"/>
      <c r="CA139" s="220"/>
      <c r="CB139" s="220"/>
      <c r="CC139" s="221"/>
    </row>
    <row r="140" spans="1:87" s="222" customFormat="1" x14ac:dyDescent="0.3">
      <c r="A140" s="213"/>
      <c r="B140" s="213"/>
      <c r="C140" s="213"/>
      <c r="D140" s="213"/>
      <c r="E140" s="213"/>
      <c r="F140" s="213"/>
      <c r="G140" s="213"/>
      <c r="H140" s="213"/>
      <c r="I140" s="213"/>
      <c r="J140" s="214"/>
      <c r="K140" s="214"/>
      <c r="L140" s="214"/>
      <c r="M140" s="215"/>
      <c r="N140" s="214"/>
      <c r="O140" s="214"/>
      <c r="P140" s="214"/>
      <c r="Q140" s="216"/>
      <c r="R140" s="214"/>
      <c r="S140" s="214"/>
      <c r="T140" s="214"/>
      <c r="U140" s="214"/>
      <c r="V140" s="214"/>
      <c r="W140" s="214"/>
      <c r="X140" s="216"/>
      <c r="Y140" s="214"/>
      <c r="Z140" s="216"/>
      <c r="AA140" s="216"/>
      <c r="AB140" s="214"/>
      <c r="AC140" s="214"/>
      <c r="AD140" s="214"/>
      <c r="AE140" s="214"/>
      <c r="AF140" s="216"/>
      <c r="AG140" s="214"/>
      <c r="AH140" s="214"/>
      <c r="AI140" s="214"/>
      <c r="AJ140" s="216"/>
      <c r="AK140" s="216"/>
      <c r="AL140" s="214"/>
      <c r="AM140" s="214"/>
      <c r="AN140" s="214"/>
      <c r="AO140" s="216"/>
      <c r="AP140" s="216"/>
      <c r="AQ140" s="214"/>
      <c r="AR140" s="214"/>
      <c r="AS140" s="214"/>
      <c r="AT140" s="214"/>
      <c r="AU140" s="214"/>
      <c r="AV140" s="214"/>
      <c r="AW140" s="216"/>
      <c r="AX140" s="214"/>
      <c r="AY140" s="214"/>
      <c r="AZ140" s="214"/>
      <c r="BA140" s="214"/>
      <c r="BB140" s="214"/>
      <c r="BC140" s="216"/>
      <c r="BD140" s="216"/>
      <c r="BE140" s="214"/>
      <c r="BF140" s="214"/>
      <c r="BG140" s="214"/>
      <c r="BH140" s="214"/>
      <c r="BI140" s="214"/>
      <c r="BJ140" s="214"/>
      <c r="BK140" s="214"/>
      <c r="BL140" s="216"/>
      <c r="BM140" s="216"/>
      <c r="BN140" s="214"/>
      <c r="BO140" s="214"/>
      <c r="BP140" s="214"/>
      <c r="BQ140" s="214"/>
      <c r="BR140" s="214"/>
      <c r="BS140" s="216"/>
      <c r="BT140" s="220"/>
      <c r="BU140" s="220"/>
      <c r="BV140" s="220"/>
      <c r="BW140" s="217"/>
      <c r="BX140" s="218"/>
      <c r="BY140" s="218"/>
      <c r="BZ140" s="219"/>
      <c r="CA140" s="220"/>
      <c r="CB140" s="220"/>
      <c r="CC140" s="221"/>
    </row>
    <row r="141" spans="1:87" s="222" customFormat="1" x14ac:dyDescent="0.3">
      <c r="A141" s="223"/>
      <c r="B141" s="223"/>
      <c r="C141" s="223"/>
      <c r="D141" s="223"/>
      <c r="E141" s="223"/>
      <c r="F141" s="223"/>
      <c r="G141" s="223"/>
      <c r="H141" s="223"/>
      <c r="I141" s="223"/>
      <c r="J141" s="224"/>
      <c r="K141" s="224"/>
      <c r="L141" s="224"/>
      <c r="M141" s="225"/>
      <c r="N141" s="224"/>
      <c r="O141" s="224"/>
      <c r="P141" s="224"/>
      <c r="Q141" s="216"/>
      <c r="R141" s="224"/>
      <c r="S141" s="224"/>
      <c r="T141" s="224"/>
      <c r="U141" s="224"/>
      <c r="V141" s="224"/>
      <c r="W141" s="224"/>
      <c r="X141" s="216"/>
      <c r="Y141" s="224"/>
      <c r="Z141" s="216"/>
      <c r="AA141" s="216"/>
      <c r="AB141" s="224"/>
      <c r="AC141" s="224"/>
      <c r="AD141" s="224"/>
      <c r="AE141" s="224"/>
      <c r="AF141" s="216"/>
      <c r="AG141" s="224"/>
      <c r="AH141" s="224"/>
      <c r="AI141" s="224"/>
      <c r="AJ141" s="216"/>
      <c r="AK141" s="216"/>
      <c r="AL141" s="224"/>
      <c r="AM141" s="224"/>
      <c r="AN141" s="224"/>
      <c r="AO141" s="216"/>
      <c r="AP141" s="216"/>
      <c r="AQ141" s="224"/>
      <c r="AR141" s="224"/>
      <c r="AS141" s="224"/>
      <c r="AT141" s="224"/>
      <c r="AU141" s="224"/>
      <c r="AV141" s="224"/>
      <c r="AW141" s="216"/>
      <c r="AX141" s="224"/>
      <c r="AY141" s="224"/>
      <c r="AZ141" s="224"/>
      <c r="BA141" s="224"/>
      <c r="BB141" s="224"/>
      <c r="BC141" s="216"/>
      <c r="BD141" s="216"/>
      <c r="BE141" s="224"/>
      <c r="BF141" s="224"/>
      <c r="BG141" s="224"/>
      <c r="BH141" s="224"/>
      <c r="BI141" s="224"/>
      <c r="BJ141" s="224"/>
      <c r="BK141" s="224"/>
      <c r="BL141" s="216"/>
      <c r="BM141" s="216"/>
      <c r="BN141" s="224"/>
      <c r="BO141" s="224"/>
      <c r="BP141" s="224"/>
      <c r="BQ141" s="224"/>
      <c r="BR141" s="224"/>
      <c r="BS141" s="216"/>
      <c r="BT141" s="220"/>
      <c r="BU141" s="220"/>
      <c r="BV141" s="220"/>
      <c r="BW141" s="217"/>
      <c r="BX141" s="218"/>
      <c r="BY141" s="218"/>
      <c r="BZ141" s="219"/>
      <c r="CA141" s="220"/>
      <c r="CB141" s="220"/>
      <c r="CC141" s="221"/>
    </row>
    <row r="142" spans="1:87" s="222" customFormat="1" x14ac:dyDescent="0.3">
      <c r="A142" s="213"/>
      <c r="B142" s="213"/>
      <c r="C142" s="213"/>
      <c r="D142" s="213"/>
      <c r="E142" s="213"/>
      <c r="F142" s="213"/>
      <c r="G142" s="213"/>
      <c r="H142" s="213"/>
      <c r="I142" s="213"/>
      <c r="J142" s="214"/>
      <c r="K142" s="214"/>
      <c r="L142" s="214"/>
      <c r="M142" s="215"/>
      <c r="N142" s="214"/>
      <c r="O142" s="214"/>
      <c r="P142" s="214"/>
      <c r="Q142" s="216"/>
      <c r="R142" s="214"/>
      <c r="S142" s="214"/>
      <c r="T142" s="214"/>
      <c r="U142" s="214"/>
      <c r="V142" s="214"/>
      <c r="W142" s="214"/>
      <c r="X142" s="216"/>
      <c r="Y142" s="214"/>
      <c r="Z142" s="216"/>
      <c r="AA142" s="216"/>
      <c r="AB142" s="214"/>
      <c r="AC142" s="214"/>
      <c r="AD142" s="214"/>
      <c r="AE142" s="214"/>
      <c r="AF142" s="216"/>
      <c r="AG142" s="214"/>
      <c r="AH142" s="214"/>
      <c r="AI142" s="214"/>
      <c r="AJ142" s="216"/>
      <c r="AK142" s="216"/>
      <c r="AL142" s="214"/>
      <c r="AM142" s="214"/>
      <c r="AN142" s="214"/>
      <c r="AO142" s="216"/>
      <c r="AP142" s="216"/>
      <c r="AQ142" s="214"/>
      <c r="AR142" s="214"/>
      <c r="AS142" s="214"/>
      <c r="AT142" s="214"/>
      <c r="AU142" s="214"/>
      <c r="AV142" s="214"/>
      <c r="AW142" s="216"/>
      <c r="AX142" s="214"/>
      <c r="AY142" s="214"/>
      <c r="AZ142" s="214"/>
      <c r="BA142" s="214"/>
      <c r="BB142" s="214"/>
      <c r="BC142" s="216"/>
      <c r="BD142" s="216"/>
      <c r="BE142" s="214"/>
      <c r="BF142" s="214"/>
      <c r="BG142" s="214"/>
      <c r="BH142" s="214"/>
      <c r="BI142" s="214"/>
      <c r="BJ142" s="214"/>
      <c r="BK142" s="214"/>
      <c r="BL142" s="216"/>
      <c r="BM142" s="216"/>
      <c r="BN142" s="214"/>
      <c r="BO142" s="214"/>
      <c r="BP142" s="214"/>
      <c r="BQ142" s="214"/>
      <c r="BR142" s="214"/>
      <c r="BS142" s="216"/>
      <c r="BT142" s="220"/>
      <c r="BU142" s="220"/>
      <c r="BV142" s="220"/>
      <c r="BW142" s="217"/>
      <c r="BX142" s="218"/>
      <c r="BY142" s="218"/>
      <c r="BZ142" s="219"/>
      <c r="CA142" s="220"/>
      <c r="CB142" s="220"/>
      <c r="CC142" s="221"/>
    </row>
    <row r="143" spans="1:87" s="222" customFormat="1" x14ac:dyDescent="0.3">
      <c r="A143" s="223"/>
      <c r="B143" s="223"/>
      <c r="C143" s="223"/>
      <c r="D143" s="223"/>
      <c r="E143" s="223"/>
      <c r="F143" s="223"/>
      <c r="G143" s="223"/>
      <c r="H143" s="223"/>
      <c r="I143" s="223"/>
      <c r="J143" s="224"/>
      <c r="K143" s="224"/>
      <c r="L143" s="224"/>
      <c r="M143" s="225"/>
      <c r="N143" s="224"/>
      <c r="O143" s="224"/>
      <c r="P143" s="224"/>
      <c r="Q143" s="216"/>
      <c r="R143" s="224"/>
      <c r="S143" s="224"/>
      <c r="T143" s="224"/>
      <c r="U143" s="224"/>
      <c r="V143" s="224"/>
      <c r="W143" s="224"/>
      <c r="X143" s="216"/>
      <c r="Y143" s="224"/>
      <c r="Z143" s="216"/>
      <c r="AA143" s="216"/>
      <c r="AB143" s="224"/>
      <c r="AC143" s="224"/>
      <c r="AD143" s="224"/>
      <c r="AE143" s="224"/>
      <c r="AF143" s="216"/>
      <c r="AG143" s="224"/>
      <c r="AH143" s="224"/>
      <c r="AI143" s="224"/>
      <c r="AJ143" s="216"/>
      <c r="AK143" s="216"/>
      <c r="AL143" s="224"/>
      <c r="AM143" s="224"/>
      <c r="AN143" s="224"/>
      <c r="AO143" s="216"/>
      <c r="AP143" s="216"/>
      <c r="AQ143" s="224"/>
      <c r="AR143" s="224"/>
      <c r="AS143" s="224"/>
      <c r="AT143" s="224"/>
      <c r="AU143" s="224"/>
      <c r="AV143" s="224"/>
      <c r="AW143" s="216"/>
      <c r="AX143" s="224"/>
      <c r="AY143" s="224"/>
      <c r="AZ143" s="224"/>
      <c r="BA143" s="224"/>
      <c r="BB143" s="224"/>
      <c r="BC143" s="216"/>
      <c r="BD143" s="216"/>
      <c r="BE143" s="224"/>
      <c r="BF143" s="224"/>
      <c r="BG143" s="224"/>
      <c r="BH143" s="224"/>
      <c r="BI143" s="224"/>
      <c r="BJ143" s="224"/>
      <c r="BK143" s="224"/>
      <c r="BL143" s="216"/>
      <c r="BM143" s="216"/>
      <c r="BN143" s="224"/>
      <c r="BO143" s="224"/>
      <c r="BP143" s="224"/>
      <c r="BQ143" s="224"/>
      <c r="BR143" s="224"/>
      <c r="BS143" s="216"/>
      <c r="BT143" s="220"/>
      <c r="BU143" s="220"/>
      <c r="BV143" s="220"/>
      <c r="BW143" s="217"/>
      <c r="BX143" s="218"/>
      <c r="BY143" s="218"/>
      <c r="BZ143" s="219"/>
      <c r="CA143" s="220"/>
      <c r="CB143" s="220"/>
      <c r="CC143" s="221"/>
    </row>
    <row r="144" spans="1:87" s="222" customFormat="1" x14ac:dyDescent="0.3">
      <c r="A144" s="213"/>
      <c r="B144" s="213"/>
      <c r="C144" s="213"/>
      <c r="D144" s="213"/>
      <c r="E144" s="213"/>
      <c r="F144" s="213"/>
      <c r="G144" s="213"/>
      <c r="H144" s="213"/>
      <c r="I144" s="213"/>
      <c r="J144" s="214"/>
      <c r="K144" s="214"/>
      <c r="L144" s="214"/>
      <c r="M144" s="215"/>
      <c r="N144" s="214"/>
      <c r="O144" s="214"/>
      <c r="P144" s="214"/>
      <c r="Q144" s="216"/>
      <c r="R144" s="214"/>
      <c r="S144" s="214"/>
      <c r="T144" s="214"/>
      <c r="U144" s="214"/>
      <c r="V144" s="214"/>
      <c r="W144" s="214"/>
      <c r="X144" s="216"/>
      <c r="Y144" s="214"/>
      <c r="Z144" s="216"/>
      <c r="AA144" s="216"/>
      <c r="AB144" s="214"/>
      <c r="AC144" s="214"/>
      <c r="AD144" s="214"/>
      <c r="AE144" s="214"/>
      <c r="AF144" s="216"/>
      <c r="AG144" s="214"/>
      <c r="AH144" s="214"/>
      <c r="AI144" s="214"/>
      <c r="AJ144" s="216"/>
      <c r="AK144" s="216"/>
      <c r="AL144" s="214"/>
      <c r="AM144" s="214"/>
      <c r="AN144" s="214"/>
      <c r="AO144" s="216"/>
      <c r="AP144" s="216"/>
      <c r="AQ144" s="214"/>
      <c r="AR144" s="214"/>
      <c r="AS144" s="214"/>
      <c r="AT144" s="214"/>
      <c r="AU144" s="214"/>
      <c r="AV144" s="214"/>
      <c r="AW144" s="216"/>
      <c r="AX144" s="214"/>
      <c r="AY144" s="214"/>
      <c r="AZ144" s="214"/>
      <c r="BA144" s="214"/>
      <c r="BB144" s="214"/>
      <c r="BC144" s="216"/>
      <c r="BD144" s="216"/>
      <c r="BE144" s="214"/>
      <c r="BF144" s="214"/>
      <c r="BG144" s="214"/>
      <c r="BH144" s="214"/>
      <c r="BI144" s="214"/>
      <c r="BJ144" s="214"/>
      <c r="BK144" s="214"/>
      <c r="BL144" s="216"/>
      <c r="BM144" s="216"/>
      <c r="BN144" s="214"/>
      <c r="BO144" s="214"/>
      <c r="BP144" s="214"/>
      <c r="BQ144" s="214"/>
      <c r="BR144" s="214"/>
      <c r="BS144" s="216"/>
      <c r="BT144" s="220"/>
      <c r="BU144" s="220"/>
      <c r="BV144" s="220"/>
      <c r="BW144" s="217"/>
      <c r="BX144" s="218"/>
      <c r="BY144" s="218"/>
      <c r="BZ144" s="219"/>
      <c r="CA144" s="220"/>
      <c r="CB144" s="220"/>
      <c r="CC144" s="221"/>
    </row>
    <row r="145" spans="1:81" s="222" customFormat="1" x14ac:dyDescent="0.3">
      <c r="A145" s="223"/>
      <c r="B145" s="223"/>
      <c r="C145" s="223"/>
      <c r="D145" s="223"/>
      <c r="E145" s="223"/>
      <c r="F145" s="223"/>
      <c r="G145" s="223"/>
      <c r="H145" s="223"/>
      <c r="I145" s="223"/>
      <c r="J145" s="224"/>
      <c r="K145" s="224"/>
      <c r="L145" s="224"/>
      <c r="M145" s="225"/>
      <c r="N145" s="224"/>
      <c r="O145" s="224"/>
      <c r="P145" s="224"/>
      <c r="Q145" s="216"/>
      <c r="R145" s="224"/>
      <c r="S145" s="224"/>
      <c r="T145" s="224"/>
      <c r="U145" s="224"/>
      <c r="V145" s="224"/>
      <c r="W145" s="224"/>
      <c r="X145" s="216"/>
      <c r="Y145" s="224"/>
      <c r="Z145" s="216"/>
      <c r="AA145" s="216"/>
      <c r="AB145" s="224"/>
      <c r="AC145" s="224"/>
      <c r="AD145" s="224"/>
      <c r="AE145" s="224"/>
      <c r="AF145" s="216"/>
      <c r="AG145" s="224"/>
      <c r="AH145" s="224"/>
      <c r="AI145" s="224"/>
      <c r="AJ145" s="216"/>
      <c r="AK145" s="216"/>
      <c r="AL145" s="224"/>
      <c r="AM145" s="224"/>
      <c r="AN145" s="224"/>
      <c r="AO145" s="216"/>
      <c r="AP145" s="216"/>
      <c r="AQ145" s="224"/>
      <c r="AR145" s="224"/>
      <c r="AS145" s="224"/>
      <c r="AT145" s="224"/>
      <c r="AU145" s="224"/>
      <c r="AV145" s="224"/>
      <c r="AW145" s="216"/>
      <c r="AX145" s="224"/>
      <c r="AY145" s="224"/>
      <c r="AZ145" s="224"/>
      <c r="BA145" s="224"/>
      <c r="BB145" s="224"/>
      <c r="BC145" s="216"/>
      <c r="BD145" s="216"/>
      <c r="BE145" s="224"/>
      <c r="BF145" s="224"/>
      <c r="BG145" s="224"/>
      <c r="BH145" s="224"/>
      <c r="BI145" s="224"/>
      <c r="BJ145" s="224"/>
      <c r="BK145" s="224"/>
      <c r="BL145" s="216"/>
      <c r="BM145" s="216"/>
      <c r="BN145" s="224"/>
      <c r="BO145" s="224"/>
      <c r="BP145" s="224"/>
      <c r="BQ145" s="224"/>
      <c r="BR145" s="224"/>
      <c r="BS145" s="216"/>
      <c r="BT145" s="220"/>
      <c r="BU145" s="220"/>
      <c r="BV145" s="220"/>
      <c r="BW145" s="217"/>
      <c r="BX145" s="218"/>
      <c r="BY145" s="218"/>
      <c r="BZ145" s="219"/>
      <c r="CA145" s="220"/>
      <c r="CB145" s="220"/>
      <c r="CC145" s="221"/>
    </row>
    <row r="146" spans="1:81" s="222" customFormat="1" x14ac:dyDescent="0.3">
      <c r="A146" s="213"/>
      <c r="B146" s="213"/>
      <c r="C146" s="213"/>
      <c r="D146" s="213"/>
      <c r="E146" s="213"/>
      <c r="F146" s="213"/>
      <c r="G146" s="213"/>
      <c r="H146" s="213"/>
      <c r="I146" s="213"/>
      <c r="J146" s="214"/>
      <c r="K146" s="214"/>
      <c r="L146" s="214"/>
      <c r="M146" s="215"/>
      <c r="N146" s="214"/>
      <c r="O146" s="214"/>
      <c r="P146" s="214"/>
      <c r="Q146" s="216"/>
      <c r="R146" s="214"/>
      <c r="S146" s="214"/>
      <c r="T146" s="214"/>
      <c r="U146" s="214"/>
      <c r="V146" s="214"/>
      <c r="W146" s="214"/>
      <c r="X146" s="216"/>
      <c r="Y146" s="214"/>
      <c r="Z146" s="216"/>
      <c r="AA146" s="216"/>
      <c r="AB146" s="214"/>
      <c r="AC146" s="214"/>
      <c r="AD146" s="214"/>
      <c r="AE146" s="214"/>
      <c r="AF146" s="216"/>
      <c r="AG146" s="214"/>
      <c r="AH146" s="214"/>
      <c r="AI146" s="214"/>
      <c r="AJ146" s="216"/>
      <c r="AK146" s="216"/>
      <c r="AL146" s="214"/>
      <c r="AM146" s="214"/>
      <c r="AN146" s="214"/>
      <c r="AO146" s="216"/>
      <c r="AP146" s="216"/>
      <c r="AQ146" s="214"/>
      <c r="AR146" s="214"/>
      <c r="AS146" s="214"/>
      <c r="AT146" s="214"/>
      <c r="AU146" s="214"/>
      <c r="AV146" s="214"/>
      <c r="AW146" s="216"/>
      <c r="AX146" s="214"/>
      <c r="AY146" s="214"/>
      <c r="AZ146" s="214"/>
      <c r="BA146" s="214"/>
      <c r="BB146" s="214"/>
      <c r="BC146" s="216"/>
      <c r="BD146" s="216"/>
      <c r="BE146" s="214"/>
      <c r="BF146" s="214"/>
      <c r="BG146" s="214"/>
      <c r="BH146" s="214"/>
      <c r="BI146" s="214"/>
      <c r="BJ146" s="214"/>
      <c r="BK146" s="214"/>
      <c r="BL146" s="216"/>
      <c r="BM146" s="216"/>
      <c r="BN146" s="214"/>
      <c r="BO146" s="214"/>
      <c r="BP146" s="214"/>
      <c r="BQ146" s="214"/>
      <c r="BR146" s="214"/>
      <c r="BS146" s="216"/>
      <c r="BT146" s="220"/>
      <c r="BU146" s="220"/>
      <c r="BV146" s="220"/>
      <c r="BW146" s="217"/>
      <c r="BX146" s="218"/>
      <c r="BY146" s="218"/>
      <c r="BZ146" s="219"/>
      <c r="CA146" s="220"/>
      <c r="CB146" s="220"/>
      <c r="CC146" s="221"/>
    </row>
    <row r="147" spans="1:81" s="222" customFormat="1" x14ac:dyDescent="0.3">
      <c r="A147" s="223"/>
      <c r="B147" s="223"/>
      <c r="C147" s="223"/>
      <c r="D147" s="223"/>
      <c r="E147" s="223"/>
      <c r="F147" s="223"/>
      <c r="G147" s="223"/>
      <c r="H147" s="223"/>
      <c r="I147" s="223"/>
      <c r="J147" s="224"/>
      <c r="K147" s="224"/>
      <c r="L147" s="224"/>
      <c r="M147" s="225"/>
      <c r="N147" s="224"/>
      <c r="O147" s="224"/>
      <c r="P147" s="224"/>
      <c r="Q147" s="216"/>
      <c r="R147" s="224"/>
      <c r="S147" s="224"/>
      <c r="T147" s="224"/>
      <c r="U147" s="224"/>
      <c r="V147" s="224"/>
      <c r="W147" s="224"/>
      <c r="X147" s="216"/>
      <c r="Y147" s="224"/>
      <c r="Z147" s="216"/>
      <c r="AA147" s="216"/>
      <c r="AB147" s="224"/>
      <c r="AC147" s="224"/>
      <c r="AD147" s="224"/>
      <c r="AE147" s="224"/>
      <c r="AF147" s="216"/>
      <c r="AG147" s="224"/>
      <c r="AH147" s="224"/>
      <c r="AI147" s="224"/>
      <c r="AJ147" s="216"/>
      <c r="AK147" s="216"/>
      <c r="AL147" s="224"/>
      <c r="AM147" s="224"/>
      <c r="AN147" s="224"/>
      <c r="AO147" s="216"/>
      <c r="AP147" s="216"/>
      <c r="AQ147" s="224"/>
      <c r="AR147" s="224"/>
      <c r="AS147" s="224"/>
      <c r="AT147" s="224"/>
      <c r="AU147" s="224"/>
      <c r="AV147" s="224"/>
      <c r="AW147" s="216"/>
      <c r="AX147" s="224"/>
      <c r="AY147" s="224"/>
      <c r="AZ147" s="224"/>
      <c r="BA147" s="224"/>
      <c r="BB147" s="224"/>
      <c r="BC147" s="216"/>
      <c r="BD147" s="216"/>
      <c r="BE147" s="224"/>
      <c r="BF147" s="224"/>
      <c r="BG147" s="224"/>
      <c r="BH147" s="224"/>
      <c r="BI147" s="224"/>
      <c r="BJ147" s="224"/>
      <c r="BK147" s="224"/>
      <c r="BL147" s="216"/>
      <c r="BM147" s="216"/>
      <c r="BN147" s="224"/>
      <c r="BO147" s="224"/>
      <c r="BP147" s="224"/>
      <c r="BQ147" s="224"/>
      <c r="BR147" s="224"/>
      <c r="BS147" s="216"/>
      <c r="BT147" s="220"/>
      <c r="BU147" s="220"/>
      <c r="BV147" s="220"/>
      <c r="BW147" s="217"/>
      <c r="BX147" s="218"/>
      <c r="BY147" s="218"/>
      <c r="BZ147" s="219"/>
      <c r="CA147" s="220"/>
      <c r="CB147" s="220"/>
      <c r="CC147" s="221"/>
    </row>
    <row r="148" spans="1:81" s="222" customFormat="1" x14ac:dyDescent="0.3">
      <c r="A148" s="213"/>
      <c r="B148" s="213"/>
      <c r="C148" s="213"/>
      <c r="D148" s="213"/>
      <c r="E148" s="213"/>
      <c r="F148" s="213"/>
      <c r="G148" s="213"/>
      <c r="H148" s="213"/>
      <c r="I148" s="213"/>
      <c r="J148" s="214"/>
      <c r="K148" s="214"/>
      <c r="L148" s="214"/>
      <c r="M148" s="215"/>
      <c r="N148" s="214"/>
      <c r="O148" s="214"/>
      <c r="P148" s="214"/>
      <c r="Q148" s="216"/>
      <c r="R148" s="214"/>
      <c r="S148" s="214"/>
      <c r="T148" s="214"/>
      <c r="U148" s="214"/>
      <c r="V148" s="214"/>
      <c r="W148" s="214"/>
      <c r="X148" s="216"/>
      <c r="Y148" s="214"/>
      <c r="Z148" s="216"/>
      <c r="AA148" s="216"/>
      <c r="AB148" s="214"/>
      <c r="AC148" s="214"/>
      <c r="AD148" s="214"/>
      <c r="AE148" s="214"/>
      <c r="AF148" s="216"/>
      <c r="AG148" s="214"/>
      <c r="AH148" s="214"/>
      <c r="AI148" s="214"/>
      <c r="AJ148" s="216"/>
      <c r="AK148" s="216"/>
      <c r="AL148" s="214"/>
      <c r="AM148" s="214"/>
      <c r="AN148" s="214"/>
      <c r="AO148" s="216"/>
      <c r="AP148" s="216"/>
      <c r="AQ148" s="214"/>
      <c r="AR148" s="214"/>
      <c r="AS148" s="214"/>
      <c r="AT148" s="214"/>
      <c r="AU148" s="214"/>
      <c r="AV148" s="214"/>
      <c r="AW148" s="216"/>
      <c r="AX148" s="214"/>
      <c r="AY148" s="214"/>
      <c r="AZ148" s="214"/>
      <c r="BA148" s="214"/>
      <c r="BB148" s="214"/>
      <c r="BC148" s="216"/>
      <c r="BD148" s="216"/>
      <c r="BE148" s="214"/>
      <c r="BF148" s="214"/>
      <c r="BG148" s="214"/>
      <c r="BH148" s="214"/>
      <c r="BI148" s="214"/>
      <c r="BJ148" s="214"/>
      <c r="BK148" s="214"/>
      <c r="BL148" s="216"/>
      <c r="BM148" s="216"/>
      <c r="BN148" s="214"/>
      <c r="BO148" s="214"/>
      <c r="BP148" s="214"/>
      <c r="BQ148" s="214"/>
      <c r="BR148" s="214"/>
      <c r="BS148" s="216"/>
      <c r="BT148" s="220"/>
      <c r="BU148" s="220"/>
      <c r="BV148" s="220"/>
      <c r="BW148" s="217"/>
      <c r="BX148" s="218"/>
      <c r="BY148" s="218"/>
      <c r="BZ148" s="219"/>
      <c r="CA148" s="220"/>
      <c r="CB148" s="220"/>
      <c r="CC148" s="221"/>
    </row>
    <row r="149" spans="1:81" s="222" customFormat="1" x14ac:dyDescent="0.3">
      <c r="A149" s="223"/>
      <c r="B149" s="223"/>
      <c r="C149" s="223"/>
      <c r="D149" s="223"/>
      <c r="E149" s="223"/>
      <c r="F149" s="223"/>
      <c r="G149" s="223"/>
      <c r="H149" s="223"/>
      <c r="I149" s="223"/>
      <c r="J149" s="224"/>
      <c r="K149" s="224"/>
      <c r="L149" s="224"/>
      <c r="M149" s="225"/>
      <c r="N149" s="224"/>
      <c r="O149" s="224"/>
      <c r="P149" s="224"/>
      <c r="Q149" s="216"/>
      <c r="R149" s="224"/>
      <c r="S149" s="224"/>
      <c r="T149" s="224"/>
      <c r="U149" s="224"/>
      <c r="V149" s="224"/>
      <c r="W149" s="224"/>
      <c r="X149" s="216"/>
      <c r="Y149" s="224"/>
      <c r="Z149" s="216"/>
      <c r="AA149" s="216"/>
      <c r="AB149" s="224"/>
      <c r="AC149" s="224"/>
      <c r="AD149" s="224"/>
      <c r="AE149" s="224"/>
      <c r="AF149" s="216"/>
      <c r="AG149" s="224"/>
      <c r="AH149" s="224"/>
      <c r="AI149" s="224"/>
      <c r="AJ149" s="216"/>
      <c r="AK149" s="216"/>
      <c r="AL149" s="224"/>
      <c r="AM149" s="224"/>
      <c r="AN149" s="224"/>
      <c r="AO149" s="216"/>
      <c r="AP149" s="216"/>
      <c r="AQ149" s="224"/>
      <c r="AR149" s="224"/>
      <c r="AS149" s="224"/>
      <c r="AT149" s="224"/>
      <c r="AU149" s="224"/>
      <c r="AV149" s="224"/>
      <c r="AW149" s="216"/>
      <c r="AX149" s="224"/>
      <c r="AY149" s="224"/>
      <c r="AZ149" s="224"/>
      <c r="BA149" s="224"/>
      <c r="BB149" s="224"/>
      <c r="BC149" s="216"/>
      <c r="BD149" s="216"/>
      <c r="BE149" s="224"/>
      <c r="BF149" s="224"/>
      <c r="BG149" s="224"/>
      <c r="BH149" s="224"/>
      <c r="BI149" s="224"/>
      <c r="BJ149" s="224"/>
      <c r="BK149" s="224"/>
      <c r="BL149" s="216"/>
      <c r="BM149" s="216"/>
      <c r="BN149" s="224"/>
      <c r="BO149" s="224"/>
      <c r="BP149" s="224"/>
      <c r="BQ149" s="224"/>
      <c r="BR149" s="224"/>
      <c r="BS149" s="216"/>
      <c r="BT149" s="220"/>
      <c r="BU149" s="220"/>
      <c r="BV149" s="220"/>
      <c r="BW149" s="217"/>
      <c r="BX149" s="218"/>
      <c r="BY149" s="218"/>
      <c r="BZ149" s="219"/>
      <c r="CA149" s="220"/>
      <c r="CB149" s="220"/>
      <c r="CC149" s="221"/>
    </row>
    <row r="150" spans="1:81" s="222" customFormat="1" x14ac:dyDescent="0.3">
      <c r="A150" s="213"/>
      <c r="B150" s="213"/>
      <c r="C150" s="213"/>
      <c r="D150" s="213"/>
      <c r="E150" s="213"/>
      <c r="F150" s="213"/>
      <c r="G150" s="213"/>
      <c r="H150" s="213"/>
      <c r="I150" s="213"/>
      <c r="J150" s="214"/>
      <c r="K150" s="214"/>
      <c r="L150" s="214"/>
      <c r="M150" s="215"/>
      <c r="N150" s="214"/>
      <c r="O150" s="214"/>
      <c r="P150" s="214"/>
      <c r="Q150" s="216"/>
      <c r="R150" s="214"/>
      <c r="S150" s="214"/>
      <c r="T150" s="214"/>
      <c r="U150" s="214"/>
      <c r="V150" s="214"/>
      <c r="W150" s="214"/>
      <c r="X150" s="216"/>
      <c r="Y150" s="214"/>
      <c r="Z150" s="216"/>
      <c r="AA150" s="216"/>
      <c r="AB150" s="214"/>
      <c r="AC150" s="214"/>
      <c r="AD150" s="214"/>
      <c r="AE150" s="214"/>
      <c r="AF150" s="216"/>
      <c r="AG150" s="214"/>
      <c r="AH150" s="214"/>
      <c r="AI150" s="214"/>
      <c r="AJ150" s="216"/>
      <c r="AK150" s="216"/>
      <c r="AL150" s="214"/>
      <c r="AM150" s="214"/>
      <c r="AN150" s="214"/>
      <c r="AO150" s="216"/>
      <c r="AP150" s="216"/>
      <c r="AQ150" s="214"/>
      <c r="AR150" s="214"/>
      <c r="AS150" s="214"/>
      <c r="AT150" s="214"/>
      <c r="AU150" s="214"/>
      <c r="AV150" s="214"/>
      <c r="AW150" s="216"/>
      <c r="AX150" s="214"/>
      <c r="AY150" s="214"/>
      <c r="AZ150" s="214"/>
      <c r="BA150" s="214"/>
      <c r="BB150" s="214"/>
      <c r="BC150" s="216"/>
      <c r="BD150" s="216"/>
      <c r="BE150" s="214"/>
      <c r="BF150" s="214"/>
      <c r="BG150" s="214"/>
      <c r="BH150" s="214"/>
      <c r="BI150" s="214"/>
      <c r="BJ150" s="214"/>
      <c r="BK150" s="214"/>
      <c r="BL150" s="216"/>
      <c r="BM150" s="216"/>
      <c r="BN150" s="214"/>
      <c r="BO150" s="214"/>
      <c r="BP150" s="214"/>
      <c r="BQ150" s="214"/>
      <c r="BR150" s="214"/>
      <c r="BS150" s="216"/>
      <c r="BT150" s="220"/>
      <c r="BU150" s="220"/>
      <c r="BV150" s="220"/>
      <c r="BW150" s="217"/>
      <c r="BX150" s="218"/>
      <c r="BY150" s="218"/>
      <c r="BZ150" s="219"/>
      <c r="CA150" s="220"/>
      <c r="CB150" s="220"/>
      <c r="CC150" s="221"/>
    </row>
    <row r="151" spans="1:81" s="222" customFormat="1" x14ac:dyDescent="0.3">
      <c r="A151" s="223"/>
      <c r="B151" s="223"/>
      <c r="C151" s="223"/>
      <c r="D151" s="223"/>
      <c r="E151" s="223"/>
      <c r="F151" s="223"/>
      <c r="G151" s="223"/>
      <c r="H151" s="223"/>
      <c r="I151" s="223"/>
      <c r="J151" s="224"/>
      <c r="K151" s="224"/>
      <c r="L151" s="224"/>
      <c r="M151" s="225"/>
      <c r="N151" s="224"/>
      <c r="O151" s="224"/>
      <c r="P151" s="224"/>
      <c r="Q151" s="216"/>
      <c r="R151" s="224"/>
      <c r="S151" s="224"/>
      <c r="T151" s="224"/>
      <c r="U151" s="224"/>
      <c r="V151" s="224"/>
      <c r="W151" s="224"/>
      <c r="X151" s="216"/>
      <c r="Y151" s="224"/>
      <c r="Z151" s="216"/>
      <c r="AA151" s="216"/>
      <c r="AB151" s="224"/>
      <c r="AC151" s="224"/>
      <c r="AD151" s="224"/>
      <c r="AE151" s="224"/>
      <c r="AF151" s="216"/>
      <c r="AG151" s="224"/>
      <c r="AH151" s="224"/>
      <c r="AI151" s="224"/>
      <c r="AJ151" s="216"/>
      <c r="AK151" s="216"/>
      <c r="AL151" s="224"/>
      <c r="AM151" s="224"/>
      <c r="AN151" s="224"/>
      <c r="AO151" s="216"/>
      <c r="AP151" s="216"/>
      <c r="AQ151" s="224"/>
      <c r="AR151" s="224"/>
      <c r="AS151" s="224"/>
      <c r="AT151" s="224"/>
      <c r="AU151" s="224"/>
      <c r="AV151" s="224"/>
      <c r="AW151" s="216"/>
      <c r="AX151" s="224"/>
      <c r="AY151" s="224"/>
      <c r="AZ151" s="224"/>
      <c r="BA151" s="224"/>
      <c r="BB151" s="224"/>
      <c r="BC151" s="216"/>
      <c r="BD151" s="216"/>
      <c r="BE151" s="224"/>
      <c r="BF151" s="224"/>
      <c r="BG151" s="224"/>
      <c r="BH151" s="224"/>
      <c r="BI151" s="224"/>
      <c r="BJ151" s="224"/>
      <c r="BK151" s="224"/>
      <c r="BL151" s="216"/>
      <c r="BM151" s="216"/>
      <c r="BN151" s="224"/>
      <c r="BO151" s="224"/>
      <c r="BP151" s="224"/>
      <c r="BQ151" s="224"/>
      <c r="BR151" s="224"/>
      <c r="BS151" s="216"/>
      <c r="BT151" s="220"/>
      <c r="BU151" s="220"/>
      <c r="BV151" s="220"/>
      <c r="BW151" s="217"/>
      <c r="BX151" s="218"/>
      <c r="BY151" s="218"/>
      <c r="BZ151" s="219"/>
      <c r="CA151" s="220"/>
      <c r="CB151" s="220"/>
      <c r="CC151" s="221"/>
    </row>
  </sheetData>
  <autoFilter ref="A1:CE151" xr:uid="{300DF732-5BAB-43EF-9553-5997D6D73AE7}"/>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3D3C65-0B41-4476-8E17-AB40AF00A681}">
  <sheetPr codeName="Sheet18">
    <tabColor rgb="FFFF0000"/>
  </sheetPr>
  <dimension ref="A1:CB161"/>
  <sheetViews>
    <sheetView zoomScale="79" workbookViewId="0">
      <selection activeCell="B85" sqref="B85"/>
    </sheetView>
  </sheetViews>
  <sheetFormatPr defaultColWidth="9.44140625" defaultRowHeight="30" customHeight="1" x14ac:dyDescent="0.3"/>
  <cols>
    <col min="1" max="11" width="17.44140625" style="13" customWidth="1"/>
    <col min="12" max="12" width="19.44140625" style="13" customWidth="1"/>
    <col min="13" max="82" width="17.44140625" style="13" customWidth="1"/>
    <col min="83" max="16384" width="9.44140625" style="13"/>
  </cols>
  <sheetData>
    <row r="1" spans="1:23" s="66" customFormat="1" ht="57" x14ac:dyDescent="0.3">
      <c r="A1" s="11" t="s">
        <v>46</v>
      </c>
      <c r="B1" s="11" t="s">
        <v>208</v>
      </c>
      <c r="C1" s="11" t="s">
        <v>209</v>
      </c>
      <c r="D1" s="11" t="s">
        <v>47</v>
      </c>
      <c r="E1" s="11" t="s">
        <v>210</v>
      </c>
      <c r="F1" s="11" t="s">
        <v>282</v>
      </c>
      <c r="G1" s="11" t="s">
        <v>212</v>
      </c>
      <c r="H1" s="11" t="s">
        <v>213</v>
      </c>
      <c r="I1" s="11" t="s">
        <v>214</v>
      </c>
      <c r="J1" s="11" t="s">
        <v>283</v>
      </c>
      <c r="K1" s="11" t="s">
        <v>284</v>
      </c>
      <c r="L1" s="11" t="s">
        <v>285</v>
      </c>
      <c r="M1" s="12" t="s">
        <v>286</v>
      </c>
      <c r="N1" s="11" t="s">
        <v>287</v>
      </c>
      <c r="O1" s="11" t="s">
        <v>288</v>
      </c>
      <c r="P1" s="11" t="s">
        <v>289</v>
      </c>
      <c r="Q1" s="11" t="s">
        <v>290</v>
      </c>
      <c r="R1" s="11" t="s">
        <v>291</v>
      </c>
      <c r="S1" s="11" t="s">
        <v>292</v>
      </c>
      <c r="T1" s="11" t="s">
        <v>293</v>
      </c>
      <c r="U1" s="11" t="s">
        <v>294</v>
      </c>
    </row>
    <row r="2" spans="1:23" s="66" customFormat="1" ht="22.8" x14ac:dyDescent="0.3">
      <c r="A2" s="57">
        <v>11794</v>
      </c>
      <c r="B2" s="57" t="s">
        <v>88</v>
      </c>
      <c r="C2" s="57" t="s">
        <v>83</v>
      </c>
      <c r="D2" s="57">
        <v>3106</v>
      </c>
      <c r="E2" s="57">
        <v>2025</v>
      </c>
      <c r="F2" s="57" t="s">
        <v>275</v>
      </c>
      <c r="G2" s="57">
        <v>1</v>
      </c>
      <c r="H2" s="57">
        <v>3</v>
      </c>
      <c r="I2" s="57" t="s">
        <v>295</v>
      </c>
      <c r="J2" s="100">
        <v>0</v>
      </c>
      <c r="K2" s="101"/>
      <c r="L2" s="87"/>
      <c r="M2" s="87"/>
      <c r="N2" s="100">
        <v>0</v>
      </c>
      <c r="O2" s="101">
        <v>0</v>
      </c>
      <c r="P2" s="87"/>
      <c r="Q2" s="99"/>
      <c r="R2" s="100">
        <v>4244111</v>
      </c>
      <c r="S2" s="101">
        <v>3271</v>
      </c>
      <c r="T2" s="87" t="s">
        <v>296</v>
      </c>
      <c r="U2" s="87" t="s">
        <v>297</v>
      </c>
      <c r="V2" s="226"/>
      <c r="W2" s="226"/>
    </row>
    <row r="3" spans="1:23" s="66" customFormat="1" ht="22.8" x14ac:dyDescent="0.3">
      <c r="A3" s="14">
        <v>6309</v>
      </c>
      <c r="B3" s="14" t="s">
        <v>86</v>
      </c>
      <c r="C3" s="14" t="s">
        <v>77</v>
      </c>
      <c r="D3" s="14">
        <v>3106</v>
      </c>
      <c r="E3" s="14">
        <v>2025</v>
      </c>
      <c r="F3" s="14" t="s">
        <v>275</v>
      </c>
      <c r="G3" s="14">
        <v>1</v>
      </c>
      <c r="H3" s="14">
        <v>3</v>
      </c>
      <c r="I3" s="14" t="s">
        <v>295</v>
      </c>
      <c r="J3" s="96">
        <v>3195282</v>
      </c>
      <c r="K3" s="97">
        <v>23979</v>
      </c>
      <c r="L3" s="88" t="s">
        <v>296</v>
      </c>
      <c r="M3" s="88" t="s">
        <v>297</v>
      </c>
      <c r="N3" s="96">
        <v>4524005</v>
      </c>
      <c r="O3" s="97">
        <v>27185</v>
      </c>
      <c r="P3" s="88" t="s">
        <v>296</v>
      </c>
      <c r="Q3" s="99" t="s">
        <v>297</v>
      </c>
      <c r="R3" s="96">
        <v>2769458</v>
      </c>
      <c r="S3" s="97">
        <v>3894</v>
      </c>
      <c r="T3" s="88" t="s">
        <v>296</v>
      </c>
      <c r="U3" s="88" t="s">
        <v>297</v>
      </c>
      <c r="V3" s="227"/>
      <c r="W3" s="227"/>
    </row>
    <row r="4" spans="1:23" s="66" customFormat="1" ht="22.8" x14ac:dyDescent="0.3">
      <c r="A4" s="57">
        <v>21965</v>
      </c>
      <c r="B4" s="57" t="s">
        <v>207</v>
      </c>
      <c r="C4" s="57" t="s">
        <v>83</v>
      </c>
      <c r="D4" s="57">
        <v>3106</v>
      </c>
      <c r="E4" s="57">
        <v>2025</v>
      </c>
      <c r="F4" s="57" t="s">
        <v>275</v>
      </c>
      <c r="G4" s="57">
        <v>1</v>
      </c>
      <c r="H4" s="57">
        <v>3</v>
      </c>
      <c r="I4" s="57" t="s">
        <v>295</v>
      </c>
      <c r="J4" s="100">
        <v>308790</v>
      </c>
      <c r="K4" s="101">
        <v>3280</v>
      </c>
      <c r="L4" s="87" t="s">
        <v>296</v>
      </c>
      <c r="M4" s="87" t="s">
        <v>297</v>
      </c>
      <c r="N4" s="100">
        <v>207386</v>
      </c>
      <c r="O4" s="101">
        <v>1789</v>
      </c>
      <c r="P4" s="87" t="s">
        <v>296</v>
      </c>
      <c r="Q4" s="99" t="s">
        <v>297</v>
      </c>
      <c r="R4" s="100">
        <v>2963</v>
      </c>
      <c r="S4" s="101">
        <v>0</v>
      </c>
      <c r="T4" s="87" t="s">
        <v>296</v>
      </c>
      <c r="U4" s="87" t="s">
        <v>297</v>
      </c>
      <c r="V4" s="226"/>
      <c r="W4" s="226"/>
    </row>
    <row r="5" spans="1:23" s="66" customFormat="1" ht="22.8" x14ac:dyDescent="0.3">
      <c r="A5" s="14">
        <v>3106</v>
      </c>
      <c r="B5" s="14" t="s">
        <v>84</v>
      </c>
      <c r="C5" s="14" t="s">
        <v>75</v>
      </c>
      <c r="D5" s="14">
        <v>3106</v>
      </c>
      <c r="E5" s="14">
        <v>2025</v>
      </c>
      <c r="F5" s="14" t="s">
        <v>275</v>
      </c>
      <c r="G5" s="14">
        <v>1</v>
      </c>
      <c r="H5" s="14">
        <v>3</v>
      </c>
      <c r="I5" s="14" t="s">
        <v>295</v>
      </c>
      <c r="J5" s="96">
        <v>3585626</v>
      </c>
      <c r="K5" s="97">
        <v>27243</v>
      </c>
      <c r="L5" s="88" t="s">
        <v>296</v>
      </c>
      <c r="M5" s="88" t="s">
        <v>297</v>
      </c>
      <c r="N5" s="96">
        <v>4955735</v>
      </c>
      <c r="O5" s="97">
        <v>31650</v>
      </c>
      <c r="P5" s="88" t="s">
        <v>296</v>
      </c>
      <c r="Q5" s="99" t="s">
        <v>297</v>
      </c>
      <c r="R5" s="96">
        <v>7628938</v>
      </c>
      <c r="S5" s="97">
        <v>7249</v>
      </c>
      <c r="T5" s="88" t="s">
        <v>296</v>
      </c>
      <c r="U5" s="88" t="s">
        <v>297</v>
      </c>
      <c r="V5" s="227"/>
      <c r="W5" s="227"/>
    </row>
    <row r="6" spans="1:23" s="66" customFormat="1" ht="22.8" x14ac:dyDescent="0.3">
      <c r="A6" s="57">
        <v>12118</v>
      </c>
      <c r="B6" s="57" t="s">
        <v>89</v>
      </c>
      <c r="C6" s="57" t="s">
        <v>83</v>
      </c>
      <c r="D6" s="57">
        <v>3106</v>
      </c>
      <c r="E6" s="57">
        <v>2025</v>
      </c>
      <c r="F6" s="57" t="s">
        <v>275</v>
      </c>
      <c r="G6" s="57">
        <v>1</v>
      </c>
      <c r="H6" s="57">
        <v>3</v>
      </c>
      <c r="I6" s="57" t="s">
        <v>295</v>
      </c>
      <c r="J6" s="100">
        <v>0</v>
      </c>
      <c r="K6" s="101"/>
      <c r="L6" s="87"/>
      <c r="M6" s="87"/>
      <c r="N6" s="100">
        <v>0</v>
      </c>
      <c r="O6" s="101">
        <v>0</v>
      </c>
      <c r="P6" s="87"/>
      <c r="Q6" s="99"/>
      <c r="R6" s="100">
        <v>46200</v>
      </c>
      <c r="S6" s="101">
        <v>0</v>
      </c>
      <c r="T6" s="87" t="s">
        <v>296</v>
      </c>
      <c r="U6" s="87" t="s">
        <v>297</v>
      </c>
      <c r="V6" s="226"/>
      <c r="W6" s="226"/>
    </row>
    <row r="7" spans="1:23" s="66" customFormat="1" ht="22.8" x14ac:dyDescent="0.3">
      <c r="A7" s="14">
        <v>8</v>
      </c>
      <c r="B7" s="14" t="s">
        <v>87</v>
      </c>
      <c r="C7" s="14" t="s">
        <v>77</v>
      </c>
      <c r="D7" s="14">
        <v>3106</v>
      </c>
      <c r="E7" s="14">
        <v>2025</v>
      </c>
      <c r="F7" s="14" t="s">
        <v>275</v>
      </c>
      <c r="G7" s="14">
        <v>1</v>
      </c>
      <c r="H7" s="14">
        <v>3</v>
      </c>
      <c r="I7" s="14" t="s">
        <v>295</v>
      </c>
      <c r="J7" s="96">
        <v>81554</v>
      </c>
      <c r="K7" s="97"/>
      <c r="L7" s="88" t="s">
        <v>296</v>
      </c>
      <c r="M7" s="88" t="s">
        <v>297</v>
      </c>
      <c r="N7" s="96">
        <v>224344</v>
      </c>
      <c r="O7" s="97">
        <v>2676</v>
      </c>
      <c r="P7" s="88" t="s">
        <v>296</v>
      </c>
      <c r="Q7" s="99" t="s">
        <v>297</v>
      </c>
      <c r="R7" s="96">
        <v>566207</v>
      </c>
      <c r="S7" s="97">
        <v>84</v>
      </c>
      <c r="T7" s="88" t="s">
        <v>296</v>
      </c>
      <c r="U7" s="88" t="s">
        <v>297</v>
      </c>
      <c r="V7" s="227"/>
      <c r="W7" s="227"/>
    </row>
    <row r="8" spans="1:23" s="66" customFormat="1" ht="22.8" x14ac:dyDescent="0.3">
      <c r="A8" s="57">
        <v>11810</v>
      </c>
      <c r="B8" s="57" t="s">
        <v>126</v>
      </c>
      <c r="C8" s="57" t="s">
        <v>83</v>
      </c>
      <c r="D8" s="57">
        <v>3109</v>
      </c>
      <c r="E8" s="57">
        <v>2025</v>
      </c>
      <c r="F8" s="57" t="s">
        <v>275</v>
      </c>
      <c r="G8" s="57">
        <v>1</v>
      </c>
      <c r="H8" s="57">
        <v>3</v>
      </c>
      <c r="I8" s="57" t="s">
        <v>295</v>
      </c>
      <c r="J8" s="100">
        <v>139550</v>
      </c>
      <c r="K8" s="101">
        <v>1425.5</v>
      </c>
      <c r="L8" s="87" t="s">
        <v>298</v>
      </c>
      <c r="M8" s="87" t="s">
        <v>299</v>
      </c>
      <c r="N8" s="100">
        <v>70438.75</v>
      </c>
      <c r="O8" s="101">
        <v>811.25</v>
      </c>
      <c r="P8" s="87" t="s">
        <v>298</v>
      </c>
      <c r="Q8" s="99" t="s">
        <v>299</v>
      </c>
      <c r="R8" s="100">
        <v>0</v>
      </c>
      <c r="S8" s="101">
        <v>0</v>
      </c>
      <c r="T8" s="87"/>
      <c r="U8" s="87"/>
      <c r="V8" s="226"/>
      <c r="W8" s="226"/>
    </row>
    <row r="9" spans="1:23" s="66" customFormat="1" ht="22.8" x14ac:dyDescent="0.3">
      <c r="A9" s="14">
        <v>39</v>
      </c>
      <c r="B9" s="14" t="s">
        <v>124</v>
      </c>
      <c r="C9" s="14" t="s">
        <v>77</v>
      </c>
      <c r="D9" s="14">
        <v>3109</v>
      </c>
      <c r="E9" s="14">
        <v>2025</v>
      </c>
      <c r="F9" s="14" t="s">
        <v>275</v>
      </c>
      <c r="G9" s="14">
        <v>1</v>
      </c>
      <c r="H9" s="14">
        <v>3</v>
      </c>
      <c r="I9" s="14" t="s">
        <v>295</v>
      </c>
      <c r="J9" s="96">
        <v>4041910.75</v>
      </c>
      <c r="K9" s="97">
        <v>39829</v>
      </c>
      <c r="L9" s="88" t="s">
        <v>298</v>
      </c>
      <c r="M9" s="88" t="s">
        <v>299</v>
      </c>
      <c r="N9" s="96">
        <v>3125943.32</v>
      </c>
      <c r="O9" s="97">
        <v>37508.75</v>
      </c>
      <c r="P9" s="88" t="s">
        <v>298</v>
      </c>
      <c r="Q9" s="99" t="s">
        <v>299</v>
      </c>
      <c r="R9" s="96">
        <v>0</v>
      </c>
      <c r="S9" s="97">
        <v>0</v>
      </c>
      <c r="T9" s="88"/>
      <c r="U9" s="88"/>
      <c r="V9" s="227"/>
      <c r="W9" s="227"/>
    </row>
    <row r="10" spans="1:23" s="66" customFormat="1" ht="22.8" x14ac:dyDescent="0.3">
      <c r="A10" s="57">
        <v>3109</v>
      </c>
      <c r="B10" s="57" t="s">
        <v>122</v>
      </c>
      <c r="C10" s="57" t="s">
        <v>75</v>
      </c>
      <c r="D10" s="57">
        <v>3109</v>
      </c>
      <c r="E10" s="57">
        <v>2025</v>
      </c>
      <c r="F10" s="57" t="s">
        <v>275</v>
      </c>
      <c r="G10" s="57">
        <v>1</v>
      </c>
      <c r="H10" s="57">
        <v>3</v>
      </c>
      <c r="I10" s="57" t="s">
        <v>295</v>
      </c>
      <c r="J10" s="100">
        <v>8179395.1500000004</v>
      </c>
      <c r="K10" s="101">
        <v>80062.210000000006</v>
      </c>
      <c r="L10" s="87" t="s">
        <v>298</v>
      </c>
      <c r="M10" s="87" t="s">
        <v>299</v>
      </c>
      <c r="N10" s="100">
        <v>5399585.5800000001</v>
      </c>
      <c r="O10" s="101">
        <v>66299.53</v>
      </c>
      <c r="P10" s="87" t="s">
        <v>298</v>
      </c>
      <c r="Q10" s="99" t="s">
        <v>299</v>
      </c>
      <c r="R10" s="100">
        <v>0</v>
      </c>
      <c r="S10" s="101">
        <v>0</v>
      </c>
      <c r="T10" s="87"/>
      <c r="U10" s="87"/>
      <c r="V10" s="226"/>
      <c r="W10" s="226"/>
    </row>
    <row r="11" spans="1:23" s="66" customFormat="1" ht="22.8" x14ac:dyDescent="0.3">
      <c r="A11" s="14">
        <v>40</v>
      </c>
      <c r="B11" s="14" t="s">
        <v>125</v>
      </c>
      <c r="C11" s="14" t="s">
        <v>77</v>
      </c>
      <c r="D11" s="14">
        <v>3109</v>
      </c>
      <c r="E11" s="14">
        <v>2025</v>
      </c>
      <c r="F11" s="14" t="s">
        <v>275</v>
      </c>
      <c r="G11" s="14">
        <v>1</v>
      </c>
      <c r="H11" s="14">
        <v>3</v>
      </c>
      <c r="I11" s="14" t="s">
        <v>295</v>
      </c>
      <c r="J11" s="96">
        <v>2122764.75</v>
      </c>
      <c r="K11" s="97">
        <v>21783.78</v>
      </c>
      <c r="L11" s="88" t="s">
        <v>298</v>
      </c>
      <c r="M11" s="88" t="s">
        <v>299</v>
      </c>
      <c r="N11" s="96">
        <v>984028.25</v>
      </c>
      <c r="O11" s="97">
        <v>11099.25</v>
      </c>
      <c r="P11" s="88" t="s">
        <v>298</v>
      </c>
      <c r="Q11" s="99" t="s">
        <v>299</v>
      </c>
      <c r="R11" s="96">
        <v>0</v>
      </c>
      <c r="S11" s="97">
        <v>0</v>
      </c>
      <c r="T11" s="88"/>
      <c r="U11" s="88"/>
      <c r="V11" s="227"/>
      <c r="W11" s="227"/>
    </row>
    <row r="12" spans="1:23" s="66" customFormat="1" ht="22.8" x14ac:dyDescent="0.3">
      <c r="A12" s="57">
        <v>16579</v>
      </c>
      <c r="B12" s="57" t="s">
        <v>155</v>
      </c>
      <c r="C12" s="57" t="s">
        <v>83</v>
      </c>
      <c r="D12" s="57">
        <v>3791</v>
      </c>
      <c r="E12" s="57">
        <v>2025</v>
      </c>
      <c r="F12" s="57" t="s">
        <v>275</v>
      </c>
      <c r="G12" s="57">
        <v>1</v>
      </c>
      <c r="H12" s="57">
        <v>3</v>
      </c>
      <c r="I12" s="57" t="s">
        <v>295</v>
      </c>
      <c r="J12" s="100">
        <v>0</v>
      </c>
      <c r="K12" s="101">
        <v>0</v>
      </c>
      <c r="L12" s="87"/>
      <c r="M12" s="87"/>
      <c r="N12" s="100">
        <v>0</v>
      </c>
      <c r="O12" s="101">
        <v>0</v>
      </c>
      <c r="P12" s="87"/>
      <c r="Q12" s="99"/>
      <c r="R12" s="100">
        <v>0</v>
      </c>
      <c r="S12" s="101">
        <v>0</v>
      </c>
      <c r="T12" s="87"/>
      <c r="U12" s="87"/>
      <c r="V12" s="226"/>
      <c r="W12" s="226"/>
    </row>
    <row r="13" spans="1:23" s="66" customFormat="1" ht="22.8" x14ac:dyDescent="0.3">
      <c r="A13" s="14">
        <v>9323</v>
      </c>
      <c r="B13" s="14" t="s">
        <v>152</v>
      </c>
      <c r="C13" s="14" t="s">
        <v>83</v>
      </c>
      <c r="D13" s="14">
        <v>3791</v>
      </c>
      <c r="E13" s="14">
        <v>2025</v>
      </c>
      <c r="F13" s="14" t="s">
        <v>275</v>
      </c>
      <c r="G13" s="14">
        <v>1</v>
      </c>
      <c r="H13" s="14">
        <v>3</v>
      </c>
      <c r="I13" s="14" t="s">
        <v>295</v>
      </c>
      <c r="J13" s="96">
        <v>46000</v>
      </c>
      <c r="K13" s="97">
        <v>520</v>
      </c>
      <c r="L13" s="88"/>
      <c r="M13" s="88"/>
      <c r="N13" s="96">
        <v>0</v>
      </c>
      <c r="O13" s="97">
        <v>0</v>
      </c>
      <c r="P13" s="88"/>
      <c r="Q13" s="99"/>
      <c r="R13" s="96">
        <v>165533</v>
      </c>
      <c r="S13" s="97">
        <v>437</v>
      </c>
      <c r="T13" s="88"/>
      <c r="U13" s="88"/>
      <c r="V13" s="227"/>
      <c r="W13" s="227"/>
    </row>
    <row r="14" spans="1:23" s="66" customFormat="1" ht="22.8" x14ac:dyDescent="0.3">
      <c r="A14" s="57">
        <v>14423</v>
      </c>
      <c r="B14" s="57" t="s">
        <v>153</v>
      </c>
      <c r="C14" s="57" t="s">
        <v>83</v>
      </c>
      <c r="D14" s="57">
        <v>3791</v>
      </c>
      <c r="E14" s="57">
        <v>2025</v>
      </c>
      <c r="F14" s="57" t="s">
        <v>275</v>
      </c>
      <c r="G14" s="57">
        <v>1</v>
      </c>
      <c r="H14" s="57">
        <v>3</v>
      </c>
      <c r="I14" s="57" t="s">
        <v>295</v>
      </c>
      <c r="J14" s="100">
        <v>1280777.6499999999</v>
      </c>
      <c r="K14" s="101">
        <v>4160</v>
      </c>
      <c r="L14" s="87"/>
      <c r="M14" s="87"/>
      <c r="N14" s="100">
        <v>343.97</v>
      </c>
      <c r="O14" s="101">
        <v>16.37</v>
      </c>
      <c r="P14" s="87"/>
      <c r="Q14" s="99"/>
      <c r="R14" s="100">
        <v>17233.669999999998</v>
      </c>
      <c r="S14" s="101">
        <v>44</v>
      </c>
      <c r="T14" s="87"/>
      <c r="U14" s="87"/>
      <c r="V14" s="226"/>
      <c r="W14" s="226"/>
    </row>
    <row r="15" spans="1:23" s="66" customFormat="1" ht="22.8" x14ac:dyDescent="0.3">
      <c r="A15" s="14">
        <v>59</v>
      </c>
      <c r="B15" s="14" t="s">
        <v>142</v>
      </c>
      <c r="C15" s="14" t="s">
        <v>77</v>
      </c>
      <c r="D15" s="14">
        <v>3791</v>
      </c>
      <c r="E15" s="14">
        <v>2025</v>
      </c>
      <c r="F15" s="14" t="s">
        <v>275</v>
      </c>
      <c r="G15" s="14">
        <v>1</v>
      </c>
      <c r="H15" s="14">
        <v>3</v>
      </c>
      <c r="I15" s="14" t="s">
        <v>295</v>
      </c>
      <c r="J15" s="96">
        <v>1861754</v>
      </c>
      <c r="K15" s="97">
        <v>22611</v>
      </c>
      <c r="L15" s="88"/>
      <c r="M15" s="88"/>
      <c r="N15" s="96">
        <v>3158369</v>
      </c>
      <c r="O15" s="97">
        <v>42764</v>
      </c>
      <c r="P15" s="88"/>
      <c r="Q15" s="99"/>
      <c r="R15" s="96">
        <v>0</v>
      </c>
      <c r="S15" s="97">
        <v>0</v>
      </c>
      <c r="T15" s="88"/>
      <c r="U15" s="88"/>
      <c r="V15" s="227"/>
      <c r="W15" s="227"/>
    </row>
    <row r="16" spans="1:23" s="66" customFormat="1" ht="22.8" x14ac:dyDescent="0.3">
      <c r="A16" s="57">
        <v>345</v>
      </c>
      <c r="B16" s="57" t="s">
        <v>150</v>
      </c>
      <c r="C16" s="57" t="s">
        <v>77</v>
      </c>
      <c r="D16" s="57">
        <v>3791</v>
      </c>
      <c r="E16" s="57">
        <v>2025</v>
      </c>
      <c r="F16" s="57" t="s">
        <v>275</v>
      </c>
      <c r="G16" s="57">
        <v>1</v>
      </c>
      <c r="H16" s="57">
        <v>3</v>
      </c>
      <c r="I16" s="57" t="s">
        <v>295</v>
      </c>
      <c r="J16" s="100">
        <v>6646111.1500000004</v>
      </c>
      <c r="K16" s="101">
        <v>74736.1333333332</v>
      </c>
      <c r="L16" s="87"/>
      <c r="M16" s="87"/>
      <c r="N16" s="100">
        <v>3198429.38</v>
      </c>
      <c r="O16" s="101">
        <v>42988.746666666302</v>
      </c>
      <c r="P16" s="87"/>
      <c r="Q16" s="99"/>
      <c r="R16" s="100">
        <v>0</v>
      </c>
      <c r="S16" s="101">
        <v>0</v>
      </c>
      <c r="T16" s="87"/>
      <c r="U16" s="87"/>
      <c r="V16" s="226"/>
      <c r="W16" s="226"/>
    </row>
    <row r="17" spans="1:23" s="66" customFormat="1" ht="22.8" x14ac:dyDescent="0.3">
      <c r="A17" s="14">
        <v>101</v>
      </c>
      <c r="B17" s="14" t="s">
        <v>148</v>
      </c>
      <c r="C17" s="14" t="s">
        <v>77</v>
      </c>
      <c r="D17" s="14">
        <v>3791</v>
      </c>
      <c r="E17" s="14">
        <v>2025</v>
      </c>
      <c r="F17" s="14" t="s">
        <v>275</v>
      </c>
      <c r="G17" s="14">
        <v>1</v>
      </c>
      <c r="H17" s="14">
        <v>3</v>
      </c>
      <c r="I17" s="14" t="s">
        <v>295</v>
      </c>
      <c r="J17" s="96">
        <v>1489924.48</v>
      </c>
      <c r="K17" s="97">
        <v>14787.76</v>
      </c>
      <c r="L17" s="88"/>
      <c r="M17" s="88"/>
      <c r="N17" s="96">
        <v>845021.85</v>
      </c>
      <c r="O17" s="97">
        <v>8785.2266666663199</v>
      </c>
      <c r="P17" s="88"/>
      <c r="Q17" s="99"/>
      <c r="R17" s="96">
        <v>436635.54</v>
      </c>
      <c r="S17" s="97">
        <v>2190</v>
      </c>
      <c r="T17" s="88"/>
      <c r="U17" s="88"/>
      <c r="V17" s="227"/>
      <c r="W17" s="227"/>
    </row>
    <row r="18" spans="1:23" s="66" customFormat="1" ht="22.8" x14ac:dyDescent="0.3">
      <c r="A18" s="57">
        <v>11004</v>
      </c>
      <c r="B18" s="57" t="s">
        <v>157</v>
      </c>
      <c r="C18" s="57" t="s">
        <v>83</v>
      </c>
      <c r="D18" s="57">
        <v>3791</v>
      </c>
      <c r="E18" s="57">
        <v>2025</v>
      </c>
      <c r="F18" s="57" t="s">
        <v>275</v>
      </c>
      <c r="G18" s="57">
        <v>1</v>
      </c>
      <c r="H18" s="57">
        <v>3</v>
      </c>
      <c r="I18" s="57" t="s">
        <v>295</v>
      </c>
      <c r="J18" s="100">
        <v>0</v>
      </c>
      <c r="K18" s="101">
        <v>0</v>
      </c>
      <c r="L18" s="87"/>
      <c r="M18" s="87"/>
      <c r="N18" s="100">
        <v>65404.639999999999</v>
      </c>
      <c r="O18" s="101">
        <v>394.68</v>
      </c>
      <c r="P18" s="87"/>
      <c r="Q18" s="99"/>
      <c r="R18" s="100">
        <v>2397740.9</v>
      </c>
      <c r="S18" s="101">
        <v>7377.6643076923101</v>
      </c>
      <c r="T18" s="87"/>
      <c r="U18" s="87"/>
      <c r="V18" s="226"/>
      <c r="W18" s="226"/>
    </row>
    <row r="19" spans="1:23" s="66" customFormat="1" ht="22.8" x14ac:dyDescent="0.3">
      <c r="A19" s="14">
        <v>89</v>
      </c>
      <c r="B19" s="14" t="s">
        <v>146</v>
      </c>
      <c r="C19" s="14" t="s">
        <v>77</v>
      </c>
      <c r="D19" s="14">
        <v>3791</v>
      </c>
      <c r="E19" s="14">
        <v>2025</v>
      </c>
      <c r="F19" s="14" t="s">
        <v>275</v>
      </c>
      <c r="G19" s="14">
        <v>1</v>
      </c>
      <c r="H19" s="14">
        <v>3</v>
      </c>
      <c r="I19" s="14" t="s">
        <v>295</v>
      </c>
      <c r="J19" s="96">
        <v>630014</v>
      </c>
      <c r="K19" s="97">
        <v>5908</v>
      </c>
      <c r="L19" s="88"/>
      <c r="M19" s="88"/>
      <c r="N19" s="96">
        <v>429039</v>
      </c>
      <c r="O19" s="97">
        <v>5337</v>
      </c>
      <c r="P19" s="88"/>
      <c r="Q19" s="99"/>
      <c r="R19" s="96">
        <v>0</v>
      </c>
      <c r="S19" s="97">
        <v>0</v>
      </c>
      <c r="T19" s="88"/>
      <c r="U19" s="88"/>
      <c r="V19" s="227"/>
      <c r="W19" s="227"/>
    </row>
    <row r="20" spans="1:23" s="66" customFormat="1" ht="34.200000000000003" x14ac:dyDescent="0.3">
      <c r="A20" s="57">
        <v>11002</v>
      </c>
      <c r="B20" s="57" t="s">
        <v>154</v>
      </c>
      <c r="C20" s="57" t="s">
        <v>83</v>
      </c>
      <c r="D20" s="57">
        <v>3791</v>
      </c>
      <c r="E20" s="57">
        <v>2025</v>
      </c>
      <c r="F20" s="57" t="s">
        <v>275</v>
      </c>
      <c r="G20" s="57">
        <v>1</v>
      </c>
      <c r="H20" s="57">
        <v>3</v>
      </c>
      <c r="I20" s="57" t="s">
        <v>295</v>
      </c>
      <c r="J20" s="100">
        <v>294219.82</v>
      </c>
      <c r="K20" s="101">
        <v>4840.88</v>
      </c>
      <c r="L20" s="87"/>
      <c r="M20" s="87"/>
      <c r="N20" s="100">
        <v>900609.13</v>
      </c>
      <c r="O20" s="101">
        <v>27367.683436562002</v>
      </c>
      <c r="P20" s="87"/>
      <c r="Q20" s="99"/>
      <c r="R20" s="100">
        <v>240999.27</v>
      </c>
      <c r="S20" s="101">
        <v>858</v>
      </c>
      <c r="T20" s="87"/>
      <c r="U20" s="87"/>
      <c r="V20" s="226"/>
      <c r="W20" s="226"/>
    </row>
    <row r="21" spans="1:23" s="66" customFormat="1" ht="22.8" x14ac:dyDescent="0.3">
      <c r="A21" s="14">
        <v>88</v>
      </c>
      <c r="B21" s="14" t="s">
        <v>145</v>
      </c>
      <c r="C21" s="14" t="s">
        <v>77</v>
      </c>
      <c r="D21" s="14">
        <v>3791</v>
      </c>
      <c r="E21" s="14">
        <v>2025</v>
      </c>
      <c r="F21" s="14" t="s">
        <v>275</v>
      </c>
      <c r="G21" s="14">
        <v>1</v>
      </c>
      <c r="H21" s="14">
        <v>3</v>
      </c>
      <c r="I21" s="14" t="s">
        <v>295</v>
      </c>
      <c r="J21" s="96">
        <v>1023990.87</v>
      </c>
      <c r="K21" s="97">
        <v>10692.37</v>
      </c>
      <c r="L21" s="88"/>
      <c r="M21" s="88"/>
      <c r="N21" s="96">
        <v>1356223.49</v>
      </c>
      <c r="O21" s="97">
        <v>16414.82</v>
      </c>
      <c r="P21" s="88"/>
      <c r="Q21" s="99"/>
      <c r="R21" s="96">
        <v>132025</v>
      </c>
      <c r="S21" s="97">
        <v>233</v>
      </c>
      <c r="T21" s="88"/>
      <c r="U21" s="88"/>
      <c r="V21" s="227"/>
      <c r="W21" s="227"/>
    </row>
    <row r="22" spans="1:23" s="66" customFormat="1" ht="22.8" x14ac:dyDescent="0.3">
      <c r="A22" s="57">
        <v>50</v>
      </c>
      <c r="B22" s="57" t="s">
        <v>144</v>
      </c>
      <c r="C22" s="57" t="s">
        <v>77</v>
      </c>
      <c r="D22" s="57">
        <v>3791</v>
      </c>
      <c r="E22" s="57">
        <v>2025</v>
      </c>
      <c r="F22" s="57" t="s">
        <v>275</v>
      </c>
      <c r="G22" s="57">
        <v>1</v>
      </c>
      <c r="H22" s="57">
        <v>3</v>
      </c>
      <c r="I22" s="57" t="s">
        <v>295</v>
      </c>
      <c r="J22" s="100">
        <v>1625228.42163911</v>
      </c>
      <c r="K22" s="101">
        <v>16982.874733318102</v>
      </c>
      <c r="L22" s="87"/>
      <c r="M22" s="87"/>
      <c r="N22" s="100">
        <v>320965</v>
      </c>
      <c r="O22" s="101">
        <v>3808.933</v>
      </c>
      <c r="P22" s="87"/>
      <c r="Q22" s="99"/>
      <c r="R22" s="100">
        <v>529150.67000000004</v>
      </c>
      <c r="S22" s="101">
        <v>888.05</v>
      </c>
      <c r="T22" s="87"/>
      <c r="U22" s="87"/>
      <c r="V22" s="226"/>
      <c r="W22" s="226"/>
    </row>
    <row r="23" spans="1:23" s="66" customFormat="1" ht="22.8" x14ac:dyDescent="0.3">
      <c r="A23" s="14">
        <v>105</v>
      </c>
      <c r="B23" s="14" t="s">
        <v>149</v>
      </c>
      <c r="C23" s="14" t="s">
        <v>77</v>
      </c>
      <c r="D23" s="14">
        <v>3791</v>
      </c>
      <c r="E23" s="14">
        <v>2025</v>
      </c>
      <c r="F23" s="14" t="s">
        <v>275</v>
      </c>
      <c r="G23" s="14">
        <v>1</v>
      </c>
      <c r="H23" s="14">
        <v>3</v>
      </c>
      <c r="I23" s="14" t="s">
        <v>295</v>
      </c>
      <c r="J23" s="96">
        <v>1610616.35</v>
      </c>
      <c r="K23" s="97">
        <v>17919.026666666701</v>
      </c>
      <c r="L23" s="88"/>
      <c r="M23" s="88"/>
      <c r="N23" s="96">
        <v>3178696.78</v>
      </c>
      <c r="O23" s="97">
        <v>49607.48</v>
      </c>
      <c r="P23" s="88"/>
      <c r="Q23" s="99"/>
      <c r="R23" s="96">
        <v>0</v>
      </c>
      <c r="S23" s="97">
        <v>0</v>
      </c>
      <c r="T23" s="88"/>
      <c r="U23" s="88"/>
      <c r="V23" s="227"/>
      <c r="W23" s="227"/>
    </row>
    <row r="24" spans="1:23" s="66" customFormat="1" ht="22.8" x14ac:dyDescent="0.3">
      <c r="A24" s="57">
        <v>3791</v>
      </c>
      <c r="B24" s="57" t="s">
        <v>141</v>
      </c>
      <c r="C24" s="57" t="s">
        <v>75</v>
      </c>
      <c r="D24" s="57">
        <v>3791</v>
      </c>
      <c r="E24" s="57">
        <v>2025</v>
      </c>
      <c r="F24" s="57" t="s">
        <v>275</v>
      </c>
      <c r="G24" s="57">
        <v>1</v>
      </c>
      <c r="H24" s="57">
        <v>3</v>
      </c>
      <c r="I24" s="57" t="s">
        <v>295</v>
      </c>
      <c r="J24" s="100">
        <v>32614423.661639102</v>
      </c>
      <c r="K24" s="101">
        <v>336992.52806636499</v>
      </c>
      <c r="L24" s="87"/>
      <c r="M24" s="87"/>
      <c r="N24" s="100">
        <v>30777614.079999998</v>
      </c>
      <c r="O24" s="101">
        <v>421824.47643655603</v>
      </c>
      <c r="P24" s="87"/>
      <c r="Q24" s="99"/>
      <c r="R24" s="100">
        <v>4534012.24</v>
      </c>
      <c r="S24" s="101">
        <v>13987.7143076923</v>
      </c>
      <c r="T24" s="87"/>
      <c r="U24" s="87"/>
      <c r="V24" s="226"/>
      <c r="W24" s="226"/>
    </row>
    <row r="25" spans="1:23" s="66" customFormat="1" ht="22.8" x14ac:dyDescent="0.3">
      <c r="A25" s="14">
        <v>10996</v>
      </c>
      <c r="B25" s="14" t="s">
        <v>151</v>
      </c>
      <c r="C25" s="14" t="s">
        <v>83</v>
      </c>
      <c r="D25" s="14">
        <v>3791</v>
      </c>
      <c r="E25" s="14">
        <v>2025</v>
      </c>
      <c r="F25" s="14" t="s">
        <v>275</v>
      </c>
      <c r="G25" s="14">
        <v>1</v>
      </c>
      <c r="H25" s="14">
        <v>3</v>
      </c>
      <c r="I25" s="14" t="s">
        <v>295</v>
      </c>
      <c r="J25" s="96">
        <v>1436361.1</v>
      </c>
      <c r="K25" s="97">
        <v>6034.08</v>
      </c>
      <c r="L25" s="88"/>
      <c r="M25" s="88"/>
      <c r="N25" s="96">
        <v>686359.16</v>
      </c>
      <c r="O25" s="97">
        <v>11714.2133333333</v>
      </c>
      <c r="P25" s="88"/>
      <c r="Q25" s="99"/>
      <c r="R25" s="96">
        <v>0</v>
      </c>
      <c r="S25" s="97">
        <v>0</v>
      </c>
      <c r="T25" s="88"/>
      <c r="U25" s="88"/>
      <c r="V25" s="227"/>
      <c r="W25" s="227"/>
    </row>
    <row r="26" spans="1:23" s="66" customFormat="1" ht="22.8" x14ac:dyDescent="0.3">
      <c r="A26" s="57">
        <v>22</v>
      </c>
      <c r="B26" s="57" t="s">
        <v>143</v>
      </c>
      <c r="C26" s="57" t="s">
        <v>77</v>
      </c>
      <c r="D26" s="57">
        <v>3791</v>
      </c>
      <c r="E26" s="57">
        <v>2025</v>
      </c>
      <c r="F26" s="57" t="s">
        <v>275</v>
      </c>
      <c r="G26" s="57">
        <v>1</v>
      </c>
      <c r="H26" s="57">
        <v>3</v>
      </c>
      <c r="I26" s="57" t="s">
        <v>295</v>
      </c>
      <c r="J26" s="100">
        <v>4955115</v>
      </c>
      <c r="K26" s="101">
        <v>53183</v>
      </c>
      <c r="L26" s="87"/>
      <c r="M26" s="87"/>
      <c r="N26" s="100">
        <v>8551071</v>
      </c>
      <c r="O26" s="101">
        <v>89447</v>
      </c>
      <c r="P26" s="87"/>
      <c r="Q26" s="99"/>
      <c r="R26" s="100">
        <v>0</v>
      </c>
      <c r="S26" s="101">
        <v>0</v>
      </c>
      <c r="T26" s="87"/>
      <c r="U26" s="87"/>
      <c r="V26" s="226"/>
      <c r="W26" s="226"/>
    </row>
    <row r="27" spans="1:23" s="66" customFormat="1" ht="22.8" x14ac:dyDescent="0.3">
      <c r="A27" s="14">
        <v>8745</v>
      </c>
      <c r="B27" s="14" t="s">
        <v>158</v>
      </c>
      <c r="C27" s="14" t="s">
        <v>83</v>
      </c>
      <c r="D27" s="14">
        <v>3791</v>
      </c>
      <c r="E27" s="14">
        <v>2025</v>
      </c>
      <c r="F27" s="14" t="s">
        <v>275</v>
      </c>
      <c r="G27" s="14">
        <v>1</v>
      </c>
      <c r="H27" s="14">
        <v>3</v>
      </c>
      <c r="I27" s="14" t="s">
        <v>295</v>
      </c>
      <c r="J27" s="96">
        <v>0</v>
      </c>
      <c r="K27" s="97">
        <v>0</v>
      </c>
      <c r="L27" s="88"/>
      <c r="M27" s="88"/>
      <c r="N27" s="96">
        <v>18480.61</v>
      </c>
      <c r="O27" s="97">
        <v>462</v>
      </c>
      <c r="P27" s="88"/>
      <c r="Q27" s="99"/>
      <c r="R27" s="96">
        <v>0</v>
      </c>
      <c r="S27" s="97">
        <v>0</v>
      </c>
      <c r="T27" s="88"/>
      <c r="U27" s="88"/>
      <c r="V27" s="227"/>
      <c r="W27" s="227"/>
    </row>
    <row r="28" spans="1:23" s="66" customFormat="1" ht="22.8" x14ac:dyDescent="0.3">
      <c r="A28" s="57">
        <v>91</v>
      </c>
      <c r="B28" s="57" t="s">
        <v>147</v>
      </c>
      <c r="C28" s="57" t="s">
        <v>77</v>
      </c>
      <c r="D28" s="57">
        <v>3791</v>
      </c>
      <c r="E28" s="57">
        <v>2025</v>
      </c>
      <c r="F28" s="57" t="s">
        <v>275</v>
      </c>
      <c r="G28" s="57">
        <v>1</v>
      </c>
      <c r="H28" s="57">
        <v>3</v>
      </c>
      <c r="I28" s="57" t="s">
        <v>295</v>
      </c>
      <c r="J28" s="100">
        <v>6623193.3200000003</v>
      </c>
      <c r="K28" s="101">
        <v>71741.453333333295</v>
      </c>
      <c r="L28" s="87"/>
      <c r="M28" s="87"/>
      <c r="N28" s="100">
        <v>6247595.5300000003</v>
      </c>
      <c r="O28" s="101">
        <v>98150</v>
      </c>
      <c r="P28" s="87"/>
      <c r="Q28" s="99"/>
      <c r="R28" s="100">
        <v>0</v>
      </c>
      <c r="S28" s="101">
        <v>0</v>
      </c>
      <c r="T28" s="87"/>
      <c r="U28" s="87"/>
      <c r="V28" s="226"/>
      <c r="W28" s="226"/>
    </row>
    <row r="29" spans="1:23" s="66" customFormat="1" ht="22.8" x14ac:dyDescent="0.3">
      <c r="A29" s="14">
        <v>8644</v>
      </c>
      <c r="B29" s="14" t="s">
        <v>156</v>
      </c>
      <c r="C29" s="14" t="s">
        <v>83</v>
      </c>
      <c r="D29" s="14">
        <v>3791</v>
      </c>
      <c r="E29" s="14">
        <v>2025</v>
      </c>
      <c r="F29" s="14" t="s">
        <v>275</v>
      </c>
      <c r="G29" s="14">
        <v>1</v>
      </c>
      <c r="H29" s="14">
        <v>3</v>
      </c>
      <c r="I29" s="14" t="s">
        <v>295</v>
      </c>
      <c r="J29" s="96">
        <v>13937.34</v>
      </c>
      <c r="K29" s="97">
        <v>336.96</v>
      </c>
      <c r="L29" s="88"/>
      <c r="M29" s="88"/>
      <c r="N29" s="96">
        <v>107573.32</v>
      </c>
      <c r="O29" s="97">
        <v>2492.0133333333301</v>
      </c>
      <c r="P29" s="88"/>
      <c r="Q29" s="99"/>
      <c r="R29" s="96">
        <v>0</v>
      </c>
      <c r="S29" s="97">
        <v>0</v>
      </c>
      <c r="T29" s="88"/>
      <c r="U29" s="88"/>
      <c r="V29" s="227"/>
      <c r="W29" s="227"/>
    </row>
    <row r="30" spans="1:23" s="66" customFormat="1" ht="22.8" x14ac:dyDescent="0.3">
      <c r="A30" s="14">
        <v>4027</v>
      </c>
      <c r="B30" s="14" t="s">
        <v>170</v>
      </c>
      <c r="C30" s="14" t="s">
        <v>75</v>
      </c>
      <c r="D30" s="14">
        <v>4027</v>
      </c>
      <c r="E30" s="14">
        <v>2025</v>
      </c>
      <c r="F30" s="14" t="s">
        <v>275</v>
      </c>
      <c r="G30" s="14">
        <v>1</v>
      </c>
      <c r="H30" s="14">
        <v>3</v>
      </c>
      <c r="I30" s="14" t="s">
        <v>295</v>
      </c>
      <c r="J30" s="96">
        <v>2549800.42</v>
      </c>
      <c r="K30" s="97">
        <v>24320.785</v>
      </c>
      <c r="L30" s="88" t="s">
        <v>298</v>
      </c>
      <c r="M30" s="88" t="s">
        <v>300</v>
      </c>
      <c r="N30" s="96">
        <v>1195659.23340259</v>
      </c>
      <c r="O30" s="97">
        <v>16395.025075422302</v>
      </c>
      <c r="P30" s="88" t="s">
        <v>298</v>
      </c>
      <c r="Q30" s="99" t="s">
        <v>300</v>
      </c>
      <c r="R30" s="96">
        <v>4380511.78</v>
      </c>
      <c r="S30" s="97">
        <v>19682.492943438701</v>
      </c>
      <c r="T30" s="88" t="s">
        <v>296</v>
      </c>
      <c r="U30" s="88" t="s">
        <v>301</v>
      </c>
      <c r="V30" s="226"/>
      <c r="W30" s="226"/>
    </row>
    <row r="31" spans="1:23" s="66" customFormat="1" ht="22.8" x14ac:dyDescent="0.3">
      <c r="A31" s="57">
        <v>11497</v>
      </c>
      <c r="B31" s="57" t="s">
        <v>172</v>
      </c>
      <c r="C31" s="57" t="s">
        <v>83</v>
      </c>
      <c r="D31" s="57">
        <v>4027</v>
      </c>
      <c r="E31" s="57">
        <v>2025</v>
      </c>
      <c r="F31" s="57" t="s">
        <v>275</v>
      </c>
      <c r="G31" s="57">
        <v>1</v>
      </c>
      <c r="H31" s="57">
        <v>3</v>
      </c>
      <c r="I31" s="57" t="s">
        <v>295</v>
      </c>
      <c r="J31" s="100">
        <v>28545</v>
      </c>
      <c r="K31" s="101">
        <v>324.375</v>
      </c>
      <c r="L31" s="87" t="s">
        <v>298</v>
      </c>
      <c r="M31" s="87" t="s">
        <v>300</v>
      </c>
      <c r="N31" s="100">
        <v>398403.81</v>
      </c>
      <c r="O31" s="101">
        <v>5075.4507897079802</v>
      </c>
      <c r="P31" s="87" t="s">
        <v>298</v>
      </c>
      <c r="Q31" s="99" t="s">
        <v>300</v>
      </c>
      <c r="R31" s="100">
        <v>2894435.21</v>
      </c>
      <c r="S31" s="101">
        <v>11074.646482939999</v>
      </c>
      <c r="T31" s="87" t="s">
        <v>296</v>
      </c>
      <c r="U31" s="87" t="s">
        <v>301</v>
      </c>
      <c r="V31" s="227"/>
      <c r="W31" s="227"/>
    </row>
    <row r="32" spans="1:23" s="66" customFormat="1" ht="22.8" x14ac:dyDescent="0.3">
      <c r="A32" s="14">
        <v>3113</v>
      </c>
      <c r="B32" s="14" t="s">
        <v>171</v>
      </c>
      <c r="C32" s="14" t="s">
        <v>77</v>
      </c>
      <c r="D32" s="14">
        <v>4027</v>
      </c>
      <c r="E32" s="14">
        <v>2025</v>
      </c>
      <c r="F32" s="14" t="s">
        <v>275</v>
      </c>
      <c r="G32" s="14">
        <v>1</v>
      </c>
      <c r="H32" s="14">
        <v>3</v>
      </c>
      <c r="I32" s="14" t="s">
        <v>295</v>
      </c>
      <c r="J32" s="96">
        <v>2521255.42</v>
      </c>
      <c r="K32" s="97">
        <v>23996.41</v>
      </c>
      <c r="L32" s="88" t="s">
        <v>298</v>
      </c>
      <c r="M32" s="88" t="s">
        <v>300</v>
      </c>
      <c r="N32" s="96">
        <v>797255.42340258905</v>
      </c>
      <c r="O32" s="97">
        <v>11319.5742857143</v>
      </c>
      <c r="P32" s="88" t="s">
        <v>298</v>
      </c>
      <c r="Q32" s="99" t="s">
        <v>300</v>
      </c>
      <c r="R32" s="96">
        <v>1486076.57</v>
      </c>
      <c r="S32" s="97">
        <v>8607.8464604987093</v>
      </c>
      <c r="T32" s="88" t="s">
        <v>296</v>
      </c>
      <c r="U32" s="88" t="s">
        <v>301</v>
      </c>
      <c r="V32" s="226"/>
      <c r="W32" s="226"/>
    </row>
    <row r="33" spans="1:23" s="66" customFormat="1" ht="22.8" x14ac:dyDescent="0.3">
      <c r="A33" s="14">
        <v>14495</v>
      </c>
      <c r="B33" s="14" t="s">
        <v>81</v>
      </c>
      <c r="C33" s="14" t="s">
        <v>77</v>
      </c>
      <c r="D33" s="14">
        <v>4066</v>
      </c>
      <c r="E33" s="14">
        <v>2025</v>
      </c>
      <c r="F33" s="14" t="s">
        <v>275</v>
      </c>
      <c r="G33" s="14">
        <v>1</v>
      </c>
      <c r="H33" s="14">
        <v>3</v>
      </c>
      <c r="I33" s="14" t="s">
        <v>295</v>
      </c>
      <c r="J33" s="96">
        <v>672815</v>
      </c>
      <c r="K33" s="97">
        <v>7213.29</v>
      </c>
      <c r="L33" s="88" t="s">
        <v>296</v>
      </c>
      <c r="M33" s="88" t="s">
        <v>302</v>
      </c>
      <c r="N33" s="96">
        <v>69377</v>
      </c>
      <c r="O33" s="97">
        <v>783.13</v>
      </c>
      <c r="P33" s="88" t="s">
        <v>296</v>
      </c>
      <c r="Q33" s="99" t="s">
        <v>302</v>
      </c>
      <c r="R33" s="96">
        <v>0</v>
      </c>
      <c r="S33" s="97">
        <v>0</v>
      </c>
      <c r="T33" s="88"/>
      <c r="U33" s="88"/>
      <c r="V33" s="227"/>
      <c r="W33" s="227"/>
    </row>
    <row r="34" spans="1:23" s="66" customFormat="1" ht="22.8" x14ac:dyDescent="0.3">
      <c r="A34" s="57">
        <v>11490</v>
      </c>
      <c r="B34" s="57" t="s">
        <v>82</v>
      </c>
      <c r="C34" s="57" t="s">
        <v>83</v>
      </c>
      <c r="D34" s="57">
        <v>4066</v>
      </c>
      <c r="E34" s="57">
        <v>2025</v>
      </c>
      <c r="F34" s="57" t="s">
        <v>275</v>
      </c>
      <c r="G34" s="57">
        <v>1</v>
      </c>
      <c r="H34" s="57">
        <v>3</v>
      </c>
      <c r="I34" s="57" t="s">
        <v>295</v>
      </c>
      <c r="J34" s="101" t="e">
        <v>#VALUE!</v>
      </c>
      <c r="K34" s="101" t="s">
        <v>700</v>
      </c>
      <c r="L34" s="87" t="s">
        <v>296</v>
      </c>
      <c r="M34" s="87" t="s">
        <v>302</v>
      </c>
      <c r="N34" s="100">
        <v>9811</v>
      </c>
      <c r="O34" s="101">
        <v>234.36</v>
      </c>
      <c r="P34" s="87" t="s">
        <v>296</v>
      </c>
      <c r="Q34" s="99" t="s">
        <v>302</v>
      </c>
      <c r="R34" s="100">
        <v>1090344</v>
      </c>
      <c r="S34" s="101">
        <v>0</v>
      </c>
      <c r="T34" s="87" t="s">
        <v>296</v>
      </c>
      <c r="U34" s="87" t="s">
        <v>302</v>
      </c>
      <c r="V34" s="226"/>
      <c r="W34" s="226"/>
    </row>
    <row r="35" spans="1:23" s="66" customFormat="1" ht="22.8" x14ac:dyDescent="0.3">
      <c r="A35" s="14">
        <v>4</v>
      </c>
      <c r="B35" s="14" t="s">
        <v>79</v>
      </c>
      <c r="C35" s="14" t="s">
        <v>77</v>
      </c>
      <c r="D35" s="14">
        <v>4066</v>
      </c>
      <c r="E35" s="14">
        <v>2025</v>
      </c>
      <c r="F35" s="14" t="s">
        <v>275</v>
      </c>
      <c r="G35" s="14">
        <v>1</v>
      </c>
      <c r="H35" s="14">
        <v>3</v>
      </c>
      <c r="I35" s="14" t="s">
        <v>295</v>
      </c>
      <c r="J35" s="96">
        <v>5380636</v>
      </c>
      <c r="K35" s="97">
        <v>57326.82</v>
      </c>
      <c r="L35" s="88" t="s">
        <v>296</v>
      </c>
      <c r="M35" s="88" t="s">
        <v>302</v>
      </c>
      <c r="N35" s="96">
        <v>1266068</v>
      </c>
      <c r="O35" s="97">
        <v>13917.55</v>
      </c>
      <c r="P35" s="88" t="s">
        <v>296</v>
      </c>
      <c r="Q35" s="99" t="s">
        <v>302</v>
      </c>
      <c r="R35" s="96">
        <v>0</v>
      </c>
      <c r="S35" s="97">
        <v>0</v>
      </c>
      <c r="T35" s="88"/>
      <c r="U35" s="88"/>
      <c r="V35" s="227"/>
      <c r="W35" s="227"/>
    </row>
    <row r="36" spans="1:23" s="66" customFormat="1" ht="22.8" x14ac:dyDescent="0.3">
      <c r="A36" s="57">
        <v>5</v>
      </c>
      <c r="B36" s="57" t="s">
        <v>76</v>
      </c>
      <c r="C36" s="57" t="s">
        <v>77</v>
      </c>
      <c r="D36" s="57">
        <v>4066</v>
      </c>
      <c r="E36" s="57">
        <v>2025</v>
      </c>
      <c r="F36" s="57" t="s">
        <v>275</v>
      </c>
      <c r="G36" s="57">
        <v>1</v>
      </c>
      <c r="H36" s="57">
        <v>3</v>
      </c>
      <c r="I36" s="57" t="s">
        <v>295</v>
      </c>
      <c r="J36" s="100">
        <v>1121935</v>
      </c>
      <c r="K36" s="101">
        <v>12284.53</v>
      </c>
      <c r="L36" s="87" t="s">
        <v>296</v>
      </c>
      <c r="M36" s="87" t="s">
        <v>302</v>
      </c>
      <c r="N36" s="100">
        <v>130019</v>
      </c>
      <c r="O36" s="101">
        <v>1716.09</v>
      </c>
      <c r="P36" s="87" t="s">
        <v>296</v>
      </c>
      <c r="Q36" s="99" t="s">
        <v>302</v>
      </c>
      <c r="R36" s="100">
        <v>0</v>
      </c>
      <c r="S36" s="101">
        <v>0</v>
      </c>
      <c r="T36" s="87"/>
      <c r="U36" s="87"/>
      <c r="V36" s="226"/>
      <c r="W36" s="226"/>
    </row>
    <row r="37" spans="1:23" s="66" customFormat="1" ht="22.8" x14ac:dyDescent="0.3">
      <c r="A37" s="14">
        <v>106</v>
      </c>
      <c r="B37" s="14" t="s">
        <v>80</v>
      </c>
      <c r="C37" s="14" t="s">
        <v>77</v>
      </c>
      <c r="D37" s="14">
        <v>4066</v>
      </c>
      <c r="E37" s="14">
        <v>2025</v>
      </c>
      <c r="F37" s="14" t="s">
        <v>275</v>
      </c>
      <c r="G37" s="14">
        <v>1</v>
      </c>
      <c r="H37" s="14">
        <v>3</v>
      </c>
      <c r="I37" s="14" t="s">
        <v>295</v>
      </c>
      <c r="J37" s="96">
        <v>427348</v>
      </c>
      <c r="K37" s="97">
        <v>4892.99</v>
      </c>
      <c r="L37" s="88" t="s">
        <v>296</v>
      </c>
      <c r="M37" s="88" t="s">
        <v>302</v>
      </c>
      <c r="N37" s="97" t="e">
        <v>#VALUE!</v>
      </c>
      <c r="O37" s="97" t="e">
        <v>#VALUE!</v>
      </c>
      <c r="P37" s="88" t="s">
        <v>296</v>
      </c>
      <c r="Q37" s="99" t="s">
        <v>302</v>
      </c>
      <c r="R37" s="96">
        <v>0</v>
      </c>
      <c r="S37" s="97">
        <v>0</v>
      </c>
      <c r="T37" s="88"/>
      <c r="U37" s="88"/>
      <c r="V37" s="227"/>
      <c r="W37" s="227"/>
    </row>
    <row r="38" spans="1:23" s="66" customFormat="1" ht="22.8" x14ac:dyDescent="0.3">
      <c r="A38" s="57">
        <v>4066</v>
      </c>
      <c r="B38" s="57" t="s">
        <v>73</v>
      </c>
      <c r="C38" s="57" t="s">
        <v>75</v>
      </c>
      <c r="D38" s="57">
        <v>4066</v>
      </c>
      <c r="E38" s="57">
        <v>2025</v>
      </c>
      <c r="F38" s="57" t="s">
        <v>275</v>
      </c>
      <c r="G38" s="57">
        <v>1</v>
      </c>
      <c r="H38" s="57">
        <v>3</v>
      </c>
      <c r="I38" s="57" t="s">
        <v>295</v>
      </c>
      <c r="J38" s="100">
        <v>7801335</v>
      </c>
      <c r="K38" s="101">
        <v>81819.81</v>
      </c>
      <c r="L38" s="87" t="s">
        <v>296</v>
      </c>
      <c r="M38" s="87" t="s">
        <v>302</v>
      </c>
      <c r="N38" s="100">
        <v>1475276</v>
      </c>
      <c r="O38" s="101">
        <v>16651.13</v>
      </c>
      <c r="P38" s="87" t="s">
        <v>296</v>
      </c>
      <c r="Q38" s="99" t="s">
        <v>302</v>
      </c>
      <c r="R38" s="100">
        <v>1090344</v>
      </c>
      <c r="S38" s="101">
        <v>0</v>
      </c>
      <c r="T38" s="87" t="s">
        <v>296</v>
      </c>
      <c r="U38" s="87" t="s">
        <v>302</v>
      </c>
      <c r="V38" s="226"/>
      <c r="W38" s="226"/>
    </row>
    <row r="39" spans="1:23" s="66" customFormat="1" ht="22.8" x14ac:dyDescent="0.3">
      <c r="A39" s="57">
        <v>3115</v>
      </c>
      <c r="B39" s="57" t="s">
        <v>201</v>
      </c>
      <c r="C39" s="57" t="s">
        <v>77</v>
      </c>
      <c r="D39" s="57">
        <v>6755</v>
      </c>
      <c r="E39" s="57">
        <v>2025</v>
      </c>
      <c r="F39" s="57" t="s">
        <v>275</v>
      </c>
      <c r="G39" s="57">
        <v>1</v>
      </c>
      <c r="H39" s="57">
        <v>3</v>
      </c>
      <c r="I39" s="57" t="s">
        <v>295</v>
      </c>
      <c r="J39" s="100">
        <v>9384060.7300000004</v>
      </c>
      <c r="K39" s="101">
        <v>85408.5</v>
      </c>
      <c r="L39" s="87"/>
      <c r="M39" s="87"/>
      <c r="N39" s="100">
        <v>4868949.4400000004</v>
      </c>
      <c r="O39" s="101">
        <v>69066.100000000006</v>
      </c>
      <c r="P39" s="87"/>
      <c r="Q39" s="99"/>
      <c r="R39" s="100">
        <v>0</v>
      </c>
      <c r="S39" s="101">
        <v>0</v>
      </c>
      <c r="T39" s="87"/>
      <c r="U39" s="87"/>
      <c r="V39" s="227"/>
      <c r="W39" s="227"/>
    </row>
    <row r="40" spans="1:23" s="66" customFormat="1" ht="22.8" x14ac:dyDescent="0.3">
      <c r="A40" s="14">
        <v>68</v>
      </c>
      <c r="B40" s="14" t="s">
        <v>198</v>
      </c>
      <c r="C40" s="14" t="s">
        <v>77</v>
      </c>
      <c r="D40" s="14">
        <v>6755</v>
      </c>
      <c r="E40" s="14">
        <v>2025</v>
      </c>
      <c r="F40" s="14" t="s">
        <v>275</v>
      </c>
      <c r="G40" s="14">
        <v>1</v>
      </c>
      <c r="H40" s="14">
        <v>3</v>
      </c>
      <c r="I40" s="14" t="s">
        <v>295</v>
      </c>
      <c r="J40" s="96">
        <v>810895.99</v>
      </c>
      <c r="K40" s="97">
        <v>8994.66</v>
      </c>
      <c r="L40" s="88"/>
      <c r="M40" s="88"/>
      <c r="N40" s="96">
        <v>464239.08</v>
      </c>
      <c r="O40" s="97">
        <v>4592.51</v>
      </c>
      <c r="P40" s="88"/>
      <c r="Q40" s="99"/>
      <c r="R40" s="96">
        <v>0</v>
      </c>
      <c r="S40" s="97">
        <v>0</v>
      </c>
      <c r="T40" s="88"/>
      <c r="U40" s="88"/>
      <c r="V40" s="226"/>
      <c r="W40" s="226"/>
    </row>
    <row r="41" spans="1:23" s="66" customFormat="1" ht="22.8" x14ac:dyDescent="0.3">
      <c r="A41" s="57">
        <v>14496</v>
      </c>
      <c r="B41" s="57" t="s">
        <v>199</v>
      </c>
      <c r="C41" s="57" t="s">
        <v>77</v>
      </c>
      <c r="D41" s="57">
        <v>6755</v>
      </c>
      <c r="E41" s="57">
        <v>2025</v>
      </c>
      <c r="F41" s="57" t="s">
        <v>275</v>
      </c>
      <c r="G41" s="57">
        <v>1</v>
      </c>
      <c r="H41" s="57">
        <v>3</v>
      </c>
      <c r="I41" s="57" t="s">
        <v>295</v>
      </c>
      <c r="J41" s="100">
        <v>2676712.9900000002</v>
      </c>
      <c r="K41" s="101">
        <v>24148</v>
      </c>
      <c r="L41" s="87"/>
      <c r="M41" s="87"/>
      <c r="N41" s="100">
        <v>1332851.3600000001</v>
      </c>
      <c r="O41" s="101">
        <v>12654.75</v>
      </c>
      <c r="P41" s="87"/>
      <c r="Q41" s="99"/>
      <c r="R41" s="100">
        <v>0</v>
      </c>
      <c r="S41" s="101">
        <v>0</v>
      </c>
      <c r="T41" s="87"/>
      <c r="U41" s="87"/>
      <c r="V41" s="227"/>
      <c r="W41" s="227"/>
    </row>
    <row r="42" spans="1:23" s="66" customFormat="1" ht="22.8" x14ac:dyDescent="0.3">
      <c r="A42" s="14">
        <v>9784</v>
      </c>
      <c r="B42" s="14" t="s">
        <v>202</v>
      </c>
      <c r="C42" s="14" t="s">
        <v>83</v>
      </c>
      <c r="D42" s="14">
        <v>6755</v>
      </c>
      <c r="E42" s="14">
        <v>2025</v>
      </c>
      <c r="F42" s="14" t="s">
        <v>275</v>
      </c>
      <c r="G42" s="14">
        <v>1</v>
      </c>
      <c r="H42" s="14">
        <v>3</v>
      </c>
      <c r="I42" s="14" t="s">
        <v>295</v>
      </c>
      <c r="J42" s="96">
        <v>0</v>
      </c>
      <c r="K42" s="97">
        <v>0</v>
      </c>
      <c r="L42" s="88"/>
      <c r="M42" s="88"/>
      <c r="N42" s="96">
        <v>273996.40000000002</v>
      </c>
      <c r="O42" s="97">
        <v>766.91</v>
      </c>
      <c r="P42" s="88"/>
      <c r="Q42" s="99"/>
      <c r="R42" s="96">
        <v>0</v>
      </c>
      <c r="S42" s="97">
        <v>0</v>
      </c>
      <c r="T42" s="88"/>
      <c r="U42" s="88"/>
      <c r="V42" s="226"/>
      <c r="W42" s="226"/>
    </row>
    <row r="43" spans="1:23" s="66" customFormat="1" ht="22.8" x14ac:dyDescent="0.3">
      <c r="A43" s="57">
        <v>133</v>
      </c>
      <c r="B43" s="57" t="s">
        <v>200</v>
      </c>
      <c r="C43" s="57" t="s">
        <v>77</v>
      </c>
      <c r="D43" s="57">
        <v>6755</v>
      </c>
      <c r="E43" s="57">
        <v>2025</v>
      </c>
      <c r="F43" s="57" t="s">
        <v>275</v>
      </c>
      <c r="G43" s="57">
        <v>1</v>
      </c>
      <c r="H43" s="57">
        <v>3</v>
      </c>
      <c r="I43" s="57" t="s">
        <v>295</v>
      </c>
      <c r="J43" s="100">
        <v>1546538.15</v>
      </c>
      <c r="K43" s="101">
        <v>13795</v>
      </c>
      <c r="L43" s="87"/>
      <c r="M43" s="87"/>
      <c r="N43" s="100">
        <v>673072.9</v>
      </c>
      <c r="O43" s="101">
        <v>9718.25</v>
      </c>
      <c r="P43" s="87"/>
      <c r="Q43" s="99"/>
      <c r="R43" s="100">
        <v>0</v>
      </c>
      <c r="S43" s="101">
        <v>0</v>
      </c>
      <c r="T43" s="87"/>
      <c r="U43" s="87"/>
      <c r="V43" s="227"/>
      <c r="W43" s="227"/>
    </row>
    <row r="44" spans="1:23" s="66" customFormat="1" ht="22.8" x14ac:dyDescent="0.3">
      <c r="A44" s="14">
        <v>348</v>
      </c>
      <c r="B44" s="14" t="s">
        <v>303</v>
      </c>
      <c r="C44" s="14" t="s">
        <v>83</v>
      </c>
      <c r="D44" s="14">
        <v>6755</v>
      </c>
      <c r="E44" s="14">
        <v>2025</v>
      </c>
      <c r="F44" s="14" t="s">
        <v>275</v>
      </c>
      <c r="G44" s="14">
        <v>1</v>
      </c>
      <c r="H44" s="14">
        <v>3</v>
      </c>
      <c r="I44" s="14" t="s">
        <v>295</v>
      </c>
      <c r="J44" s="96">
        <v>0</v>
      </c>
      <c r="K44" s="97"/>
      <c r="L44" s="88"/>
      <c r="M44" s="88"/>
      <c r="N44" s="96">
        <v>0</v>
      </c>
      <c r="O44" s="97">
        <v>0</v>
      </c>
      <c r="P44" s="88"/>
      <c r="Q44" s="99"/>
      <c r="R44" s="96">
        <v>0</v>
      </c>
      <c r="S44" s="97">
        <v>0</v>
      </c>
      <c r="T44" s="88"/>
      <c r="U44" s="88"/>
      <c r="V44" s="226"/>
      <c r="W44" s="226"/>
    </row>
    <row r="45" spans="1:23" s="66" customFormat="1" ht="22.8" x14ac:dyDescent="0.3">
      <c r="A45" s="57">
        <v>6755</v>
      </c>
      <c r="B45" s="57" t="s">
        <v>197</v>
      </c>
      <c r="C45" s="57" t="s">
        <v>75</v>
      </c>
      <c r="D45" s="57">
        <v>6755</v>
      </c>
      <c r="E45" s="57">
        <v>2025</v>
      </c>
      <c r="F45" s="57" t="s">
        <v>275</v>
      </c>
      <c r="G45" s="57">
        <v>1</v>
      </c>
      <c r="H45" s="57">
        <v>3</v>
      </c>
      <c r="I45" s="57" t="s">
        <v>295</v>
      </c>
      <c r="J45" s="100">
        <v>83505.58</v>
      </c>
      <c r="K45" s="101">
        <v>1026.1600000000001</v>
      </c>
      <c r="L45" s="87"/>
      <c r="M45" s="87"/>
      <c r="N45" s="100">
        <v>303067.5</v>
      </c>
      <c r="O45" s="101">
        <v>3959</v>
      </c>
      <c r="P45" s="87"/>
      <c r="Q45" s="99"/>
      <c r="R45" s="100">
        <v>0</v>
      </c>
      <c r="S45" s="101">
        <v>0</v>
      </c>
      <c r="T45" s="87"/>
      <c r="U45" s="87"/>
      <c r="V45" s="227"/>
      <c r="W45" s="227"/>
    </row>
    <row r="46" spans="1:23" s="66" customFormat="1" ht="22.8" x14ac:dyDescent="0.3">
      <c r="A46" s="14">
        <v>9991</v>
      </c>
      <c r="B46" s="14" t="s">
        <v>162</v>
      </c>
      <c r="C46" s="14" t="s">
        <v>75</v>
      </c>
      <c r="D46" s="14">
        <v>9991</v>
      </c>
      <c r="E46" s="14">
        <v>2025</v>
      </c>
      <c r="F46" s="14" t="s">
        <v>275</v>
      </c>
      <c r="G46" s="14">
        <v>1</v>
      </c>
      <c r="H46" s="14">
        <v>3</v>
      </c>
      <c r="I46" s="14" t="s">
        <v>295</v>
      </c>
      <c r="J46" s="96">
        <v>7670015.1699999999</v>
      </c>
      <c r="K46" s="97">
        <v>74573.289999999994</v>
      </c>
      <c r="L46" s="88" t="s">
        <v>296</v>
      </c>
      <c r="M46" s="88" t="s">
        <v>304</v>
      </c>
      <c r="N46" s="96">
        <v>1040340.81</v>
      </c>
      <c r="O46" s="97">
        <v>9244.2358122423793</v>
      </c>
      <c r="P46" s="88" t="s">
        <v>296</v>
      </c>
      <c r="Q46" s="99" t="s">
        <v>304</v>
      </c>
      <c r="R46" s="96">
        <v>13646928</v>
      </c>
      <c r="S46" s="97">
        <v>60137.63</v>
      </c>
      <c r="T46" s="88" t="s">
        <v>298</v>
      </c>
      <c r="U46" s="88" t="s">
        <v>305</v>
      </c>
      <c r="V46" s="226"/>
      <c r="W46" s="226"/>
    </row>
    <row r="47" spans="1:23" s="66" customFormat="1" ht="22.8" x14ac:dyDescent="0.3">
      <c r="A47" s="57">
        <v>25</v>
      </c>
      <c r="B47" s="57" t="s">
        <v>164</v>
      </c>
      <c r="C47" s="57" t="s">
        <v>77</v>
      </c>
      <c r="D47" s="57">
        <v>9991</v>
      </c>
      <c r="E47" s="57">
        <v>2025</v>
      </c>
      <c r="F47" s="57" t="s">
        <v>275</v>
      </c>
      <c r="G47" s="57">
        <v>1</v>
      </c>
      <c r="H47" s="57">
        <v>3</v>
      </c>
      <c r="I47" s="57" t="s">
        <v>295</v>
      </c>
      <c r="J47" s="100">
        <v>7387723.6900000004</v>
      </c>
      <c r="K47" s="101">
        <v>71827.490000000005</v>
      </c>
      <c r="L47" s="87" t="s">
        <v>296</v>
      </c>
      <c r="M47" s="87" t="s">
        <v>304</v>
      </c>
      <c r="N47" s="100">
        <v>1040340.81</v>
      </c>
      <c r="O47" s="101">
        <v>9244.2358122423793</v>
      </c>
      <c r="P47" s="87" t="s">
        <v>296</v>
      </c>
      <c r="Q47" s="99" t="s">
        <v>304</v>
      </c>
      <c r="R47" s="100">
        <v>11215945</v>
      </c>
      <c r="S47" s="101">
        <v>52167.19</v>
      </c>
      <c r="T47" s="87" t="s">
        <v>298</v>
      </c>
      <c r="U47" s="87" t="s">
        <v>305</v>
      </c>
      <c r="V47" s="227"/>
      <c r="W47" s="227"/>
    </row>
    <row r="48" spans="1:23" s="66" customFormat="1" ht="22.8" x14ac:dyDescent="0.3">
      <c r="A48" s="14">
        <v>10327</v>
      </c>
      <c r="B48" s="14" t="s">
        <v>165</v>
      </c>
      <c r="C48" s="14" t="s">
        <v>83</v>
      </c>
      <c r="D48" s="14">
        <v>9991</v>
      </c>
      <c r="E48" s="14">
        <v>2025</v>
      </c>
      <c r="F48" s="14" t="s">
        <v>275</v>
      </c>
      <c r="G48" s="14">
        <v>1</v>
      </c>
      <c r="H48" s="14">
        <v>3</v>
      </c>
      <c r="I48" s="14" t="s">
        <v>295</v>
      </c>
      <c r="J48" s="96">
        <v>282291</v>
      </c>
      <c r="K48" s="97">
        <v>2745.8</v>
      </c>
      <c r="L48" s="88" t="s">
        <v>296</v>
      </c>
      <c r="M48" s="88" t="s">
        <v>304</v>
      </c>
      <c r="N48" s="96">
        <v>0</v>
      </c>
      <c r="O48" s="97">
        <v>0</v>
      </c>
      <c r="P48" s="88" t="s">
        <v>296</v>
      </c>
      <c r="Q48" s="99" t="s">
        <v>304</v>
      </c>
      <c r="R48" s="96">
        <v>2430983</v>
      </c>
      <c r="S48" s="97">
        <v>7970.44</v>
      </c>
      <c r="T48" s="88" t="s">
        <v>298</v>
      </c>
      <c r="U48" s="88" t="s">
        <v>305</v>
      </c>
      <c r="V48" s="226"/>
      <c r="W48" s="226"/>
    </row>
    <row r="49" spans="1:23" s="66" customFormat="1" ht="22.8" x14ac:dyDescent="0.3">
      <c r="A49" s="57">
        <v>13120</v>
      </c>
      <c r="B49" s="57" t="s">
        <v>169</v>
      </c>
      <c r="C49" s="57" t="s">
        <v>83</v>
      </c>
      <c r="D49" s="57">
        <v>12759</v>
      </c>
      <c r="E49" s="57">
        <v>2025</v>
      </c>
      <c r="F49" s="57" t="s">
        <v>275</v>
      </c>
      <c r="G49" s="57">
        <v>1</v>
      </c>
      <c r="H49" s="57">
        <v>3</v>
      </c>
      <c r="I49" s="57" t="s">
        <v>295</v>
      </c>
      <c r="J49" s="100">
        <v>36059.620000000003</v>
      </c>
      <c r="K49" s="101">
        <v>384.75</v>
      </c>
      <c r="L49" s="87" t="s">
        <v>296</v>
      </c>
      <c r="M49" s="87" t="s">
        <v>306</v>
      </c>
      <c r="N49" s="100">
        <v>0</v>
      </c>
      <c r="O49" s="101">
        <v>0</v>
      </c>
      <c r="P49" s="87"/>
      <c r="Q49" s="99"/>
      <c r="R49" s="100">
        <v>0</v>
      </c>
      <c r="S49" s="101">
        <v>0</v>
      </c>
      <c r="T49" s="87"/>
      <c r="U49" s="87"/>
      <c r="V49" s="227"/>
      <c r="W49" s="227"/>
    </row>
    <row r="50" spans="1:23" s="66" customFormat="1" ht="22.8" x14ac:dyDescent="0.3">
      <c r="A50" s="14">
        <v>122</v>
      </c>
      <c r="B50" s="14" t="s">
        <v>168</v>
      </c>
      <c r="C50" s="14" t="s">
        <v>77</v>
      </c>
      <c r="D50" s="14">
        <v>12759</v>
      </c>
      <c r="E50" s="14">
        <v>2025</v>
      </c>
      <c r="F50" s="14" t="s">
        <v>275</v>
      </c>
      <c r="G50" s="14">
        <v>1</v>
      </c>
      <c r="H50" s="14">
        <v>3</v>
      </c>
      <c r="I50" s="14" t="s">
        <v>295</v>
      </c>
      <c r="J50" s="96">
        <v>6682626.7999999998</v>
      </c>
      <c r="K50" s="97">
        <v>55213.75</v>
      </c>
      <c r="L50" s="88" t="s">
        <v>296</v>
      </c>
      <c r="M50" s="88" t="s">
        <v>306</v>
      </c>
      <c r="N50" s="96">
        <v>1392641.25</v>
      </c>
      <c r="O50" s="97">
        <v>27637.750195503399</v>
      </c>
      <c r="P50" s="88" t="s">
        <v>296</v>
      </c>
      <c r="Q50" s="99" t="s">
        <v>306</v>
      </c>
      <c r="R50" s="96">
        <v>1253584.31</v>
      </c>
      <c r="S50" s="97">
        <v>4059.25</v>
      </c>
      <c r="T50" s="88" t="s">
        <v>296</v>
      </c>
      <c r="U50" s="88" t="s">
        <v>306</v>
      </c>
      <c r="V50" s="226"/>
      <c r="W50" s="226"/>
    </row>
    <row r="51" spans="1:23" s="66" customFormat="1" ht="34.200000000000003" x14ac:dyDescent="0.3">
      <c r="A51" s="57">
        <v>12759</v>
      </c>
      <c r="B51" s="57" t="s">
        <v>166</v>
      </c>
      <c r="C51" s="57" t="s">
        <v>75</v>
      </c>
      <c r="D51" s="57">
        <v>12759</v>
      </c>
      <c r="E51" s="57">
        <v>2025</v>
      </c>
      <c r="F51" s="57" t="s">
        <v>275</v>
      </c>
      <c r="G51" s="57">
        <v>1</v>
      </c>
      <c r="H51" s="57">
        <v>3</v>
      </c>
      <c r="I51" s="57" t="s">
        <v>295</v>
      </c>
      <c r="J51" s="100">
        <v>6718686.4199999999</v>
      </c>
      <c r="K51" s="101">
        <v>55598.5</v>
      </c>
      <c r="L51" s="87" t="s">
        <v>296</v>
      </c>
      <c r="M51" s="87" t="s">
        <v>306</v>
      </c>
      <c r="N51" s="100">
        <v>1392641.25</v>
      </c>
      <c r="O51" s="101">
        <v>27637.750195503399</v>
      </c>
      <c r="P51" s="87" t="s">
        <v>296</v>
      </c>
      <c r="Q51" s="99" t="s">
        <v>306</v>
      </c>
      <c r="R51" s="100">
        <v>1253584.31</v>
      </c>
      <c r="S51" s="101">
        <v>4059.25</v>
      </c>
      <c r="T51" s="87" t="s">
        <v>296</v>
      </c>
      <c r="U51" s="87" t="s">
        <v>306</v>
      </c>
      <c r="V51" s="227"/>
      <c r="W51" s="227"/>
    </row>
    <row r="52" spans="1:23" s="66" customFormat="1" ht="22.8" x14ac:dyDescent="0.3">
      <c r="A52" s="14">
        <v>77</v>
      </c>
      <c r="B52" s="14" t="s">
        <v>205</v>
      </c>
      <c r="C52" s="14" t="s">
        <v>77</v>
      </c>
      <c r="D52" s="14">
        <v>12767</v>
      </c>
      <c r="E52" s="14">
        <v>2025</v>
      </c>
      <c r="F52" s="14" t="s">
        <v>275</v>
      </c>
      <c r="G52" s="14">
        <v>1</v>
      </c>
      <c r="H52" s="14">
        <v>3</v>
      </c>
      <c r="I52" s="14" t="s">
        <v>295</v>
      </c>
      <c r="J52" s="96">
        <v>333408.40000000002</v>
      </c>
      <c r="K52" s="97">
        <v>3523.37</v>
      </c>
      <c r="L52" s="88" t="s">
        <v>296</v>
      </c>
      <c r="M52" s="88" t="s">
        <v>307</v>
      </c>
      <c r="N52" s="96">
        <v>151926.48000000001</v>
      </c>
      <c r="O52" s="97">
        <v>1741.51</v>
      </c>
      <c r="P52" s="88" t="s">
        <v>296</v>
      </c>
      <c r="Q52" s="99" t="s">
        <v>307</v>
      </c>
      <c r="R52" s="96">
        <v>308993</v>
      </c>
      <c r="S52" s="97">
        <v>1140</v>
      </c>
      <c r="T52" s="88" t="s">
        <v>296</v>
      </c>
      <c r="U52" s="88" t="s">
        <v>307</v>
      </c>
      <c r="V52" s="226"/>
      <c r="W52" s="226"/>
    </row>
    <row r="53" spans="1:23" s="66" customFormat="1" ht="22.8" x14ac:dyDescent="0.3">
      <c r="A53" s="57">
        <v>12767</v>
      </c>
      <c r="B53" s="57" t="s">
        <v>203</v>
      </c>
      <c r="C53" s="57" t="s">
        <v>75</v>
      </c>
      <c r="D53" s="57">
        <v>12767</v>
      </c>
      <c r="E53" s="57">
        <v>2025</v>
      </c>
      <c r="F53" s="57" t="s">
        <v>275</v>
      </c>
      <c r="G53" s="57">
        <v>1</v>
      </c>
      <c r="H53" s="57">
        <v>3</v>
      </c>
      <c r="I53" s="57" t="s">
        <v>295</v>
      </c>
      <c r="J53" s="100">
        <v>0</v>
      </c>
      <c r="K53" s="101"/>
      <c r="L53" s="87"/>
      <c r="M53" s="87"/>
      <c r="N53" s="100">
        <v>0</v>
      </c>
      <c r="O53" s="101">
        <v>0</v>
      </c>
      <c r="P53" s="87"/>
      <c r="Q53" s="99"/>
      <c r="R53" s="100">
        <v>0</v>
      </c>
      <c r="S53" s="101">
        <v>0</v>
      </c>
      <c r="T53" s="87"/>
      <c r="U53" s="87"/>
      <c r="V53" s="227"/>
      <c r="W53" s="227"/>
    </row>
    <row r="54" spans="1:23" s="66" customFormat="1" ht="22.8" x14ac:dyDescent="0.3">
      <c r="A54" s="14">
        <v>14428</v>
      </c>
      <c r="B54" s="14" t="s">
        <v>206</v>
      </c>
      <c r="C54" s="14" t="s">
        <v>83</v>
      </c>
      <c r="D54" s="14">
        <v>12767</v>
      </c>
      <c r="E54" s="14">
        <v>2025</v>
      </c>
      <c r="F54" s="14" t="s">
        <v>275</v>
      </c>
      <c r="G54" s="14">
        <v>1</v>
      </c>
      <c r="H54" s="14">
        <v>3</v>
      </c>
      <c r="I54" s="14" t="s">
        <v>295</v>
      </c>
      <c r="J54" s="96">
        <v>0</v>
      </c>
      <c r="K54" s="97"/>
      <c r="L54" s="88"/>
      <c r="M54" s="88"/>
      <c r="N54" s="96">
        <v>0</v>
      </c>
      <c r="O54" s="97">
        <v>0</v>
      </c>
      <c r="P54" s="88"/>
      <c r="Q54" s="99"/>
      <c r="R54" s="96">
        <v>0</v>
      </c>
      <c r="S54" s="97">
        <v>0</v>
      </c>
      <c r="T54" s="88"/>
      <c r="U54" s="88"/>
      <c r="V54" s="226"/>
      <c r="W54" s="226"/>
    </row>
    <row r="55" spans="1:23" s="66" customFormat="1" ht="22.8" x14ac:dyDescent="0.3">
      <c r="A55" s="57">
        <v>11397</v>
      </c>
      <c r="B55" s="57" t="s">
        <v>182</v>
      </c>
      <c r="C55" s="57" t="s">
        <v>83</v>
      </c>
      <c r="D55" s="57">
        <v>12773</v>
      </c>
      <c r="E55" s="57">
        <v>2025</v>
      </c>
      <c r="F55" s="57" t="s">
        <v>275</v>
      </c>
      <c r="G55" s="57">
        <v>1</v>
      </c>
      <c r="H55" s="57">
        <v>3</v>
      </c>
      <c r="I55" s="57" t="s">
        <v>295</v>
      </c>
      <c r="J55" s="100">
        <v>0</v>
      </c>
      <c r="K55" s="101"/>
      <c r="L55" s="87"/>
      <c r="M55" s="87"/>
      <c r="N55" s="100">
        <v>0</v>
      </c>
      <c r="O55" s="101">
        <v>0</v>
      </c>
      <c r="P55" s="87"/>
      <c r="Q55" s="99"/>
      <c r="R55" s="100">
        <v>0</v>
      </c>
      <c r="S55" s="101">
        <v>0</v>
      </c>
      <c r="T55" s="87"/>
      <c r="U55" s="87"/>
      <c r="V55" s="227"/>
      <c r="W55" s="227"/>
    </row>
    <row r="56" spans="1:23" s="66" customFormat="1" ht="34.200000000000003" x14ac:dyDescent="0.3">
      <c r="A56" s="14">
        <v>12773</v>
      </c>
      <c r="B56" s="14" t="s">
        <v>179</v>
      </c>
      <c r="C56" s="14" t="s">
        <v>75</v>
      </c>
      <c r="D56" s="14">
        <v>12773</v>
      </c>
      <c r="E56" s="14">
        <v>2025</v>
      </c>
      <c r="F56" s="14" t="s">
        <v>275</v>
      </c>
      <c r="G56" s="14">
        <v>1</v>
      </c>
      <c r="H56" s="14">
        <v>3</v>
      </c>
      <c r="I56" s="14" t="s">
        <v>295</v>
      </c>
      <c r="J56" s="96">
        <v>192343.35</v>
      </c>
      <c r="K56" s="97">
        <v>2064.7800000000002</v>
      </c>
      <c r="L56" s="88"/>
      <c r="M56" s="88"/>
      <c r="N56" s="96">
        <v>48206.25</v>
      </c>
      <c r="O56" s="97">
        <v>543.25</v>
      </c>
      <c r="P56" s="88"/>
      <c r="Q56" s="99"/>
      <c r="R56" s="96">
        <v>0</v>
      </c>
      <c r="S56" s="97">
        <v>0</v>
      </c>
      <c r="T56" s="88"/>
      <c r="U56" s="88"/>
      <c r="V56" s="226"/>
      <c r="W56" s="226"/>
    </row>
    <row r="57" spans="1:23" s="66" customFormat="1" ht="22.8" x14ac:dyDescent="0.3">
      <c r="A57" s="57">
        <v>129</v>
      </c>
      <c r="B57" s="57" t="s">
        <v>181</v>
      </c>
      <c r="C57" s="57" t="s">
        <v>77</v>
      </c>
      <c r="D57" s="57">
        <v>12773</v>
      </c>
      <c r="E57" s="57">
        <v>2025</v>
      </c>
      <c r="F57" s="57" t="s">
        <v>275</v>
      </c>
      <c r="G57" s="57">
        <v>1</v>
      </c>
      <c r="H57" s="57">
        <v>3</v>
      </c>
      <c r="I57" s="57" t="s">
        <v>295</v>
      </c>
      <c r="J57" s="100">
        <v>192343.35</v>
      </c>
      <c r="K57" s="101">
        <v>2064.7800000000002</v>
      </c>
      <c r="L57" s="87"/>
      <c r="M57" s="87"/>
      <c r="N57" s="100">
        <v>48206.25</v>
      </c>
      <c r="O57" s="101">
        <v>543.25</v>
      </c>
      <c r="P57" s="87"/>
      <c r="Q57" s="99"/>
      <c r="R57" s="100">
        <v>0</v>
      </c>
      <c r="S57" s="101">
        <v>0</v>
      </c>
      <c r="T57" s="87"/>
      <c r="U57" s="87"/>
      <c r="V57" s="227"/>
      <c r="W57" s="227"/>
    </row>
    <row r="58" spans="1:23" s="66" customFormat="1" ht="22.8" x14ac:dyDescent="0.3">
      <c r="A58" s="14">
        <v>85</v>
      </c>
      <c r="B58" s="14" t="s">
        <v>191</v>
      </c>
      <c r="C58" s="14" t="s">
        <v>77</v>
      </c>
      <c r="D58" s="14">
        <v>12775</v>
      </c>
      <c r="E58" s="14">
        <v>2025</v>
      </c>
      <c r="F58" s="14" t="s">
        <v>275</v>
      </c>
      <c r="G58" s="14">
        <v>1</v>
      </c>
      <c r="H58" s="14">
        <v>3</v>
      </c>
      <c r="I58" s="14" t="s">
        <v>295</v>
      </c>
      <c r="J58" s="96">
        <v>0</v>
      </c>
      <c r="K58" s="97">
        <v>0</v>
      </c>
      <c r="L58" s="88" t="s">
        <v>296</v>
      </c>
      <c r="M58" s="88" t="s">
        <v>308</v>
      </c>
      <c r="N58" s="96">
        <v>244460</v>
      </c>
      <c r="O58" s="97">
        <v>2897</v>
      </c>
      <c r="P58" s="88" t="s">
        <v>296</v>
      </c>
      <c r="Q58" s="99" t="s">
        <v>308</v>
      </c>
      <c r="R58" s="96">
        <v>0</v>
      </c>
      <c r="S58" s="97">
        <v>0</v>
      </c>
      <c r="T58" s="88"/>
      <c r="U58" s="88"/>
      <c r="V58" s="226"/>
      <c r="W58" s="226"/>
    </row>
    <row r="59" spans="1:23" s="66" customFormat="1" ht="22.8" x14ac:dyDescent="0.3">
      <c r="A59" s="57">
        <v>10991</v>
      </c>
      <c r="B59" s="57" t="s">
        <v>196</v>
      </c>
      <c r="C59" s="57" t="s">
        <v>83</v>
      </c>
      <c r="D59" s="57">
        <v>12775</v>
      </c>
      <c r="E59" s="57">
        <v>2025</v>
      </c>
      <c r="F59" s="57" t="s">
        <v>275</v>
      </c>
      <c r="G59" s="57">
        <v>1</v>
      </c>
      <c r="H59" s="57">
        <v>3</v>
      </c>
      <c r="I59" s="57" t="s">
        <v>295</v>
      </c>
      <c r="J59" s="100">
        <v>0</v>
      </c>
      <c r="K59" s="101">
        <v>0</v>
      </c>
      <c r="L59" s="87" t="s">
        <v>296</v>
      </c>
      <c r="M59" s="87" t="s">
        <v>308</v>
      </c>
      <c r="N59" s="100">
        <v>155800</v>
      </c>
      <c r="O59" s="101">
        <v>2670</v>
      </c>
      <c r="P59" s="87" t="s">
        <v>296</v>
      </c>
      <c r="Q59" s="99" t="s">
        <v>308</v>
      </c>
      <c r="R59" s="100">
        <v>3281279</v>
      </c>
      <c r="S59" s="101">
        <v>6146</v>
      </c>
      <c r="T59" s="87" t="s">
        <v>296</v>
      </c>
      <c r="U59" s="87" t="s">
        <v>308</v>
      </c>
      <c r="V59" s="227"/>
      <c r="W59" s="227"/>
    </row>
    <row r="60" spans="1:23" s="66" customFormat="1" ht="22.8" x14ac:dyDescent="0.3">
      <c r="A60" s="14">
        <v>14420</v>
      </c>
      <c r="B60" s="14" t="s">
        <v>194</v>
      </c>
      <c r="C60" s="14" t="s">
        <v>83</v>
      </c>
      <c r="D60" s="14">
        <v>12775</v>
      </c>
      <c r="E60" s="14">
        <v>2025</v>
      </c>
      <c r="F60" s="14" t="s">
        <v>275</v>
      </c>
      <c r="G60" s="14">
        <v>1</v>
      </c>
      <c r="H60" s="14">
        <v>3</v>
      </c>
      <c r="I60" s="14" t="s">
        <v>295</v>
      </c>
      <c r="J60" s="96">
        <v>0</v>
      </c>
      <c r="K60" s="97">
        <v>0</v>
      </c>
      <c r="L60" s="88" t="s">
        <v>296</v>
      </c>
      <c r="M60" s="88" t="s">
        <v>308</v>
      </c>
      <c r="N60" s="96">
        <v>0</v>
      </c>
      <c r="O60" s="97">
        <v>0</v>
      </c>
      <c r="P60" s="88" t="s">
        <v>296</v>
      </c>
      <c r="Q60" s="99" t="s">
        <v>308</v>
      </c>
      <c r="R60" s="96">
        <v>22532.2</v>
      </c>
      <c r="S60" s="97">
        <v>35.5</v>
      </c>
      <c r="T60" s="88" t="s">
        <v>296</v>
      </c>
      <c r="U60" s="88" t="s">
        <v>308</v>
      </c>
      <c r="V60" s="226"/>
      <c r="W60" s="226"/>
    </row>
    <row r="61" spans="1:23" s="66" customFormat="1" ht="22.8" x14ac:dyDescent="0.3">
      <c r="A61" s="57">
        <v>3111</v>
      </c>
      <c r="B61" s="57" t="s">
        <v>192</v>
      </c>
      <c r="C61" s="57" t="s">
        <v>77</v>
      </c>
      <c r="D61" s="57">
        <v>12775</v>
      </c>
      <c r="E61" s="57">
        <v>2025</v>
      </c>
      <c r="F61" s="57" t="s">
        <v>275</v>
      </c>
      <c r="G61" s="57">
        <v>1</v>
      </c>
      <c r="H61" s="57">
        <v>3</v>
      </c>
      <c r="I61" s="57" t="s">
        <v>295</v>
      </c>
      <c r="J61" s="100">
        <v>0</v>
      </c>
      <c r="K61" s="101">
        <v>0</v>
      </c>
      <c r="L61" s="87" t="s">
        <v>296</v>
      </c>
      <c r="M61" s="87" t="s">
        <v>308</v>
      </c>
      <c r="N61" s="100">
        <v>152702.5</v>
      </c>
      <c r="O61" s="101">
        <v>1279.9000000000001</v>
      </c>
      <c r="P61" s="87" t="s">
        <v>296</v>
      </c>
      <c r="Q61" s="99" t="s">
        <v>308</v>
      </c>
      <c r="R61" s="100">
        <v>406683.59</v>
      </c>
      <c r="S61" s="101">
        <v>1145.5899999999999</v>
      </c>
      <c r="T61" s="87" t="s">
        <v>296</v>
      </c>
      <c r="U61" s="87" t="s">
        <v>308</v>
      </c>
      <c r="V61" s="227"/>
      <c r="W61" s="227"/>
    </row>
    <row r="62" spans="1:23" s="66" customFormat="1" ht="22.8" x14ac:dyDescent="0.3">
      <c r="A62" s="14">
        <v>104</v>
      </c>
      <c r="B62" s="14" t="s">
        <v>193</v>
      </c>
      <c r="C62" s="14" t="s">
        <v>77</v>
      </c>
      <c r="D62" s="14">
        <v>12775</v>
      </c>
      <c r="E62" s="14">
        <v>2025</v>
      </c>
      <c r="F62" s="14" t="s">
        <v>275</v>
      </c>
      <c r="G62" s="14">
        <v>1</v>
      </c>
      <c r="H62" s="14">
        <v>3</v>
      </c>
      <c r="I62" s="14" t="s">
        <v>295</v>
      </c>
      <c r="J62" s="96">
        <v>347186</v>
      </c>
      <c r="K62" s="97">
        <v>3307</v>
      </c>
      <c r="L62" s="88" t="s">
        <v>296</v>
      </c>
      <c r="M62" s="88" t="s">
        <v>308</v>
      </c>
      <c r="N62" s="96">
        <v>6968606</v>
      </c>
      <c r="O62" s="97">
        <v>8733</v>
      </c>
      <c r="P62" s="88" t="s">
        <v>296</v>
      </c>
      <c r="Q62" s="99" t="s">
        <v>308</v>
      </c>
      <c r="R62" s="96">
        <v>0</v>
      </c>
      <c r="S62" s="97">
        <v>0</v>
      </c>
      <c r="T62" s="88"/>
      <c r="U62" s="88"/>
      <c r="V62" s="226"/>
      <c r="W62" s="226"/>
    </row>
    <row r="63" spans="1:23" s="66" customFormat="1" ht="22.8" x14ac:dyDescent="0.3">
      <c r="A63" s="57">
        <v>12775</v>
      </c>
      <c r="B63" s="57" t="s">
        <v>309</v>
      </c>
      <c r="C63" s="57" t="s">
        <v>75</v>
      </c>
      <c r="D63" s="57">
        <v>12775</v>
      </c>
      <c r="E63" s="57">
        <v>2025</v>
      </c>
      <c r="F63" s="57" t="s">
        <v>275</v>
      </c>
      <c r="G63" s="57">
        <v>1</v>
      </c>
      <c r="H63" s="57">
        <v>3</v>
      </c>
      <c r="I63" s="57" t="s">
        <v>295</v>
      </c>
      <c r="J63" s="100">
        <v>347186</v>
      </c>
      <c r="K63" s="101">
        <v>3307</v>
      </c>
      <c r="L63" s="87" t="s">
        <v>296</v>
      </c>
      <c r="M63" s="87" t="s">
        <v>308</v>
      </c>
      <c r="N63" s="100">
        <v>7521568.5</v>
      </c>
      <c r="O63" s="101">
        <v>15579.9</v>
      </c>
      <c r="P63" s="87" t="s">
        <v>296</v>
      </c>
      <c r="Q63" s="99" t="s">
        <v>308</v>
      </c>
      <c r="R63" s="100">
        <v>3736094.79</v>
      </c>
      <c r="S63" s="101">
        <v>7487.09</v>
      </c>
      <c r="T63" s="87" t="s">
        <v>296</v>
      </c>
      <c r="U63" s="87" t="s">
        <v>308</v>
      </c>
      <c r="V63" s="227"/>
      <c r="W63" s="227"/>
    </row>
    <row r="64" spans="1:23" s="66" customFormat="1" ht="22.8" x14ac:dyDescent="0.3">
      <c r="A64" s="14">
        <v>7895</v>
      </c>
      <c r="B64" s="14" t="s">
        <v>195</v>
      </c>
      <c r="C64" s="14" t="s">
        <v>83</v>
      </c>
      <c r="D64" s="14">
        <v>12775</v>
      </c>
      <c r="E64" s="14">
        <v>2025</v>
      </c>
      <c r="F64" s="14" t="s">
        <v>275</v>
      </c>
      <c r="G64" s="14">
        <v>1</v>
      </c>
      <c r="H64" s="14">
        <v>3</v>
      </c>
      <c r="I64" s="14" t="s">
        <v>295</v>
      </c>
      <c r="J64" s="96">
        <v>0</v>
      </c>
      <c r="K64" s="97">
        <v>0</v>
      </c>
      <c r="L64" s="88" t="s">
        <v>296</v>
      </c>
      <c r="M64" s="88" t="s">
        <v>308</v>
      </c>
      <c r="N64" s="96">
        <v>0</v>
      </c>
      <c r="O64" s="97">
        <v>0</v>
      </c>
      <c r="P64" s="88" t="s">
        <v>296</v>
      </c>
      <c r="Q64" s="99" t="s">
        <v>308</v>
      </c>
      <c r="R64" s="96">
        <v>25600</v>
      </c>
      <c r="S64" s="97">
        <v>160</v>
      </c>
      <c r="T64" s="88" t="s">
        <v>296</v>
      </c>
      <c r="U64" s="88" t="s">
        <v>308</v>
      </c>
      <c r="V64" s="226"/>
      <c r="W64" s="226"/>
    </row>
    <row r="65" spans="1:23" s="66" customFormat="1" ht="22.8" x14ac:dyDescent="0.3">
      <c r="A65" s="14">
        <v>57</v>
      </c>
      <c r="B65" s="14" t="s">
        <v>132</v>
      </c>
      <c r="C65" s="14" t="s">
        <v>77</v>
      </c>
      <c r="D65" s="14">
        <v>12776</v>
      </c>
      <c r="E65" s="14">
        <v>2025</v>
      </c>
      <c r="F65" s="14" t="s">
        <v>275</v>
      </c>
      <c r="G65" s="14">
        <v>1</v>
      </c>
      <c r="H65" s="14">
        <v>3</v>
      </c>
      <c r="I65" s="14" t="s">
        <v>295</v>
      </c>
      <c r="J65" s="96">
        <v>1442696</v>
      </c>
      <c r="K65" s="97">
        <v>12489</v>
      </c>
      <c r="L65" s="88" t="s">
        <v>298</v>
      </c>
      <c r="M65" s="88" t="s">
        <v>310</v>
      </c>
      <c r="N65" s="96">
        <v>596269</v>
      </c>
      <c r="O65" s="97">
        <v>9027</v>
      </c>
      <c r="P65" s="88" t="s">
        <v>298</v>
      </c>
      <c r="Q65" s="99" t="s">
        <v>310</v>
      </c>
      <c r="R65" s="96">
        <v>0</v>
      </c>
      <c r="S65" s="97">
        <v>0</v>
      </c>
      <c r="T65" s="88"/>
      <c r="U65" s="88"/>
      <c r="V65" s="227"/>
      <c r="W65" s="227"/>
    </row>
    <row r="66" spans="1:23" s="66" customFormat="1" ht="22.8" x14ac:dyDescent="0.3">
      <c r="A66" s="57">
        <v>12776</v>
      </c>
      <c r="B66" s="57" t="s">
        <v>130</v>
      </c>
      <c r="C66" s="57" t="s">
        <v>75</v>
      </c>
      <c r="D66" s="57">
        <v>12776</v>
      </c>
      <c r="E66" s="57">
        <v>2025</v>
      </c>
      <c r="F66" s="57" t="s">
        <v>275</v>
      </c>
      <c r="G66" s="57">
        <v>1</v>
      </c>
      <c r="H66" s="57">
        <v>3</v>
      </c>
      <c r="I66" s="57" t="s">
        <v>295</v>
      </c>
      <c r="J66" s="100">
        <v>0</v>
      </c>
      <c r="K66" s="101"/>
      <c r="L66" s="87"/>
      <c r="M66" s="87"/>
      <c r="N66" s="100">
        <v>0</v>
      </c>
      <c r="O66" s="101">
        <v>0</v>
      </c>
      <c r="P66" s="87"/>
      <c r="Q66" s="99"/>
      <c r="R66" s="100">
        <v>0</v>
      </c>
      <c r="S66" s="101">
        <v>0</v>
      </c>
      <c r="T66" s="87"/>
      <c r="U66" s="87"/>
      <c r="V66" s="226"/>
      <c r="W66" s="226"/>
    </row>
    <row r="67" spans="1:23" s="66" customFormat="1" ht="22.8" x14ac:dyDescent="0.3">
      <c r="A67" s="14">
        <v>73</v>
      </c>
      <c r="B67" s="14" t="s">
        <v>136</v>
      </c>
      <c r="C67" s="14" t="s">
        <v>77</v>
      </c>
      <c r="D67" s="14">
        <v>12807</v>
      </c>
      <c r="E67" s="14">
        <v>2025</v>
      </c>
      <c r="F67" s="14" t="s">
        <v>275</v>
      </c>
      <c r="G67" s="14">
        <v>1</v>
      </c>
      <c r="H67" s="14">
        <v>3</v>
      </c>
      <c r="I67" s="14" t="s">
        <v>295</v>
      </c>
      <c r="J67" s="96">
        <v>29695</v>
      </c>
      <c r="K67" s="97">
        <v>347.5</v>
      </c>
      <c r="L67" s="88" t="s">
        <v>296</v>
      </c>
      <c r="M67" s="88" t="s">
        <v>311</v>
      </c>
      <c r="N67" s="96">
        <v>130824.25</v>
      </c>
      <c r="O67" s="97">
        <v>1555</v>
      </c>
      <c r="P67" s="88" t="s">
        <v>296</v>
      </c>
      <c r="Q67" s="99" t="s">
        <v>311</v>
      </c>
      <c r="R67" s="96">
        <v>54347.5</v>
      </c>
      <c r="S67" s="97">
        <v>667</v>
      </c>
      <c r="T67" s="88"/>
      <c r="U67" s="88"/>
      <c r="V67" s="227"/>
      <c r="W67" s="227"/>
    </row>
    <row r="68" spans="1:23" s="66" customFormat="1" ht="22.8" x14ac:dyDescent="0.3">
      <c r="A68" s="57">
        <v>12807</v>
      </c>
      <c r="B68" s="57" t="s">
        <v>133</v>
      </c>
      <c r="C68" s="57" t="s">
        <v>75</v>
      </c>
      <c r="D68" s="57">
        <v>12807</v>
      </c>
      <c r="E68" s="57">
        <v>2025</v>
      </c>
      <c r="F68" s="57" t="s">
        <v>275</v>
      </c>
      <c r="G68" s="57">
        <v>1</v>
      </c>
      <c r="H68" s="57">
        <v>3</v>
      </c>
      <c r="I68" s="57" t="s">
        <v>295</v>
      </c>
      <c r="J68" s="100">
        <v>29695</v>
      </c>
      <c r="K68" s="101">
        <v>347.5</v>
      </c>
      <c r="L68" s="87" t="s">
        <v>296</v>
      </c>
      <c r="M68" s="87" t="s">
        <v>311</v>
      </c>
      <c r="N68" s="100">
        <v>149616.75</v>
      </c>
      <c r="O68" s="101">
        <v>1804.5</v>
      </c>
      <c r="P68" s="87" t="s">
        <v>296</v>
      </c>
      <c r="Q68" s="99" t="s">
        <v>311</v>
      </c>
      <c r="R68" s="100">
        <v>138725</v>
      </c>
      <c r="S68" s="101">
        <v>1706.75</v>
      </c>
      <c r="T68" s="87" t="s">
        <v>296</v>
      </c>
      <c r="U68" s="87" t="s">
        <v>311</v>
      </c>
      <c r="V68" s="226"/>
      <c r="W68" s="226"/>
    </row>
    <row r="69" spans="1:23" s="66" customFormat="1" ht="22.8" x14ac:dyDescent="0.3">
      <c r="A69" s="14">
        <v>2</v>
      </c>
      <c r="B69" s="14" t="s">
        <v>135</v>
      </c>
      <c r="C69" s="14" t="s">
        <v>77</v>
      </c>
      <c r="D69" s="14">
        <v>12807</v>
      </c>
      <c r="E69" s="14">
        <v>2025</v>
      </c>
      <c r="F69" s="14" t="s">
        <v>275</v>
      </c>
      <c r="G69" s="14">
        <v>1</v>
      </c>
      <c r="H69" s="14">
        <v>3</v>
      </c>
      <c r="I69" s="14" t="s">
        <v>295</v>
      </c>
      <c r="J69" s="96">
        <v>0</v>
      </c>
      <c r="K69" s="97"/>
      <c r="L69" s="88" t="s">
        <v>296</v>
      </c>
      <c r="M69" s="88" t="s">
        <v>311</v>
      </c>
      <c r="N69" s="96">
        <v>18792.5</v>
      </c>
      <c r="O69" s="97">
        <v>249.5</v>
      </c>
      <c r="P69" s="88" t="s">
        <v>296</v>
      </c>
      <c r="Q69" s="99" t="s">
        <v>311</v>
      </c>
      <c r="R69" s="96">
        <v>84377.5</v>
      </c>
      <c r="S69" s="97">
        <v>1039.75</v>
      </c>
      <c r="T69" s="88" t="s">
        <v>296</v>
      </c>
      <c r="U69" s="88" t="s">
        <v>311</v>
      </c>
      <c r="V69" s="227"/>
      <c r="W69" s="227"/>
    </row>
    <row r="70" spans="1:23" s="66" customFormat="1" ht="22.8" x14ac:dyDescent="0.3">
      <c r="A70" s="57">
        <v>10976</v>
      </c>
      <c r="B70" s="57" t="s">
        <v>137</v>
      </c>
      <c r="C70" s="57" t="s">
        <v>83</v>
      </c>
      <c r="D70" s="57">
        <v>12807</v>
      </c>
      <c r="E70" s="57">
        <v>2025</v>
      </c>
      <c r="F70" s="57" t="s">
        <v>275</v>
      </c>
      <c r="G70" s="57">
        <v>1</v>
      </c>
      <c r="H70" s="57">
        <v>3</v>
      </c>
      <c r="I70" s="57" t="s">
        <v>295</v>
      </c>
      <c r="J70" s="100">
        <v>0</v>
      </c>
      <c r="K70" s="101"/>
      <c r="L70" s="87"/>
      <c r="M70" s="87"/>
      <c r="N70" s="100">
        <v>0</v>
      </c>
      <c r="O70" s="101">
        <v>0</v>
      </c>
      <c r="P70" s="87"/>
      <c r="Q70" s="99"/>
      <c r="R70" s="100">
        <v>0</v>
      </c>
      <c r="S70" s="101">
        <v>0</v>
      </c>
      <c r="T70" s="87"/>
      <c r="U70" s="87"/>
      <c r="V70" s="226"/>
      <c r="W70" s="226"/>
    </row>
    <row r="71" spans="1:23" s="66" customFormat="1" ht="34.200000000000003" x14ac:dyDescent="0.3">
      <c r="A71" s="14">
        <v>13155</v>
      </c>
      <c r="B71" s="14" t="s">
        <v>127</v>
      </c>
      <c r="C71" s="14" t="s">
        <v>75</v>
      </c>
      <c r="D71" s="14">
        <v>13155</v>
      </c>
      <c r="E71" s="14">
        <v>2025</v>
      </c>
      <c r="F71" s="14" t="s">
        <v>275</v>
      </c>
      <c r="G71" s="14">
        <v>1</v>
      </c>
      <c r="H71" s="14">
        <v>3</v>
      </c>
      <c r="I71" s="14" t="s">
        <v>295</v>
      </c>
      <c r="J71" s="96">
        <v>143114.98000000001</v>
      </c>
      <c r="K71" s="97">
        <v>0</v>
      </c>
      <c r="L71" s="88" t="s">
        <v>298</v>
      </c>
      <c r="M71" s="88" t="s">
        <v>312</v>
      </c>
      <c r="N71" s="96">
        <v>1086181.8899999999</v>
      </c>
      <c r="O71" s="97">
        <v>6693.75</v>
      </c>
      <c r="P71" s="88" t="s">
        <v>298</v>
      </c>
      <c r="Q71" s="99" t="s">
        <v>312</v>
      </c>
      <c r="R71" s="96">
        <v>0</v>
      </c>
      <c r="S71" s="97">
        <v>0</v>
      </c>
      <c r="T71" s="88"/>
      <c r="U71" s="88"/>
      <c r="V71" s="227"/>
      <c r="W71" s="227"/>
    </row>
    <row r="72" spans="1:23" s="66" customFormat="1" ht="22.8" x14ac:dyDescent="0.3">
      <c r="A72" s="57">
        <v>51</v>
      </c>
      <c r="B72" s="57" t="s">
        <v>129</v>
      </c>
      <c r="C72" s="57" t="s">
        <v>77</v>
      </c>
      <c r="D72" s="57">
        <v>13155</v>
      </c>
      <c r="E72" s="57">
        <v>2025</v>
      </c>
      <c r="F72" s="57" t="s">
        <v>275</v>
      </c>
      <c r="G72" s="57">
        <v>1</v>
      </c>
      <c r="H72" s="57">
        <v>3</v>
      </c>
      <c r="I72" s="57" t="s">
        <v>295</v>
      </c>
      <c r="J72" s="100">
        <v>143114.98000000001</v>
      </c>
      <c r="K72" s="101">
        <v>0</v>
      </c>
      <c r="L72" s="87" t="s">
        <v>298</v>
      </c>
      <c r="M72" s="87" t="s">
        <v>313</v>
      </c>
      <c r="N72" s="100">
        <v>1086181.8899999999</v>
      </c>
      <c r="O72" s="101">
        <v>6693.75</v>
      </c>
      <c r="P72" s="87" t="s">
        <v>298</v>
      </c>
      <c r="Q72" s="99" t="s">
        <v>312</v>
      </c>
      <c r="R72" s="100">
        <v>0</v>
      </c>
      <c r="S72" s="101">
        <v>0</v>
      </c>
      <c r="T72" s="87"/>
      <c r="U72" s="87"/>
      <c r="V72" s="226"/>
      <c r="W72" s="226"/>
    </row>
    <row r="73" spans="1:23" s="66" customFormat="1" ht="22.8" x14ac:dyDescent="0.3">
      <c r="A73" s="14">
        <v>97</v>
      </c>
      <c r="B73" s="14" t="s">
        <v>159</v>
      </c>
      <c r="C73" s="14" t="s">
        <v>77</v>
      </c>
      <c r="D73" s="14">
        <v>13157</v>
      </c>
      <c r="E73" s="14">
        <v>2025</v>
      </c>
      <c r="F73" s="14" t="s">
        <v>275</v>
      </c>
      <c r="G73" s="14">
        <v>1</v>
      </c>
      <c r="H73" s="14">
        <v>3</v>
      </c>
      <c r="I73" s="14" t="s">
        <v>295</v>
      </c>
      <c r="J73" s="96">
        <v>503725</v>
      </c>
      <c r="K73" s="97">
        <v>4892</v>
      </c>
      <c r="L73" s="88" t="s">
        <v>296</v>
      </c>
      <c r="M73" s="88" t="s">
        <v>314</v>
      </c>
      <c r="N73" s="96">
        <v>513558</v>
      </c>
      <c r="O73" s="97">
        <v>4617</v>
      </c>
      <c r="P73" s="88" t="s">
        <v>296</v>
      </c>
      <c r="Q73" s="99" t="s">
        <v>314</v>
      </c>
      <c r="R73" s="96">
        <v>0</v>
      </c>
      <c r="S73" s="97">
        <v>0</v>
      </c>
      <c r="T73" s="88"/>
      <c r="U73" s="88"/>
      <c r="V73" s="227"/>
      <c r="W73" s="227"/>
    </row>
    <row r="74" spans="1:23" s="66" customFormat="1" ht="22.8" x14ac:dyDescent="0.3">
      <c r="A74" s="57">
        <v>8750</v>
      </c>
      <c r="B74" s="57" t="s">
        <v>161</v>
      </c>
      <c r="C74" s="57" t="s">
        <v>83</v>
      </c>
      <c r="D74" s="57">
        <v>13157</v>
      </c>
      <c r="E74" s="57">
        <v>2025</v>
      </c>
      <c r="F74" s="57" t="s">
        <v>275</v>
      </c>
      <c r="G74" s="57">
        <v>1</v>
      </c>
      <c r="H74" s="57">
        <v>3</v>
      </c>
      <c r="I74" s="57" t="s">
        <v>295</v>
      </c>
      <c r="J74" s="100">
        <v>0</v>
      </c>
      <c r="K74" s="101"/>
      <c r="L74" s="87"/>
      <c r="M74" s="87"/>
      <c r="N74" s="100">
        <v>0</v>
      </c>
      <c r="O74" s="101">
        <v>0</v>
      </c>
      <c r="P74" s="87"/>
      <c r="Q74" s="99"/>
      <c r="R74" s="100">
        <v>62560</v>
      </c>
      <c r="S74" s="101">
        <v>736</v>
      </c>
      <c r="T74" s="87" t="s">
        <v>296</v>
      </c>
      <c r="U74" s="87" t="s">
        <v>314</v>
      </c>
      <c r="V74" s="226"/>
      <c r="W74" s="226"/>
    </row>
    <row r="75" spans="1:23" s="66" customFormat="1" ht="22.8" x14ac:dyDescent="0.3">
      <c r="A75" s="14">
        <v>13157</v>
      </c>
      <c r="B75" s="14" t="s">
        <v>277</v>
      </c>
      <c r="C75" s="14" t="s">
        <v>75</v>
      </c>
      <c r="D75" s="14">
        <v>13157</v>
      </c>
      <c r="E75" s="14">
        <v>2025</v>
      </c>
      <c r="F75" s="14" t="s">
        <v>275</v>
      </c>
      <c r="G75" s="14">
        <v>1</v>
      </c>
      <c r="H75" s="14">
        <v>3</v>
      </c>
      <c r="I75" s="14" t="s">
        <v>295</v>
      </c>
      <c r="J75" s="96">
        <v>0</v>
      </c>
      <c r="K75" s="97"/>
      <c r="L75" s="88"/>
      <c r="M75" s="88"/>
      <c r="N75" s="96">
        <v>0</v>
      </c>
      <c r="O75" s="97">
        <v>0</v>
      </c>
      <c r="P75" s="88"/>
      <c r="Q75" s="99"/>
      <c r="R75" s="96">
        <v>0</v>
      </c>
      <c r="S75" s="97">
        <v>0</v>
      </c>
      <c r="T75" s="88"/>
      <c r="U75" s="88"/>
      <c r="V75" s="227"/>
      <c r="W75" s="227"/>
    </row>
    <row r="76" spans="1:23" s="66" customFormat="1" ht="22.8" x14ac:dyDescent="0.3">
      <c r="A76" s="57">
        <v>13159</v>
      </c>
      <c r="B76" s="57" t="s">
        <v>121</v>
      </c>
      <c r="C76" s="57" t="s">
        <v>75</v>
      </c>
      <c r="D76" s="57">
        <v>13159</v>
      </c>
      <c r="E76" s="57">
        <v>2025</v>
      </c>
      <c r="F76" s="57" t="s">
        <v>276</v>
      </c>
      <c r="G76" s="57">
        <v>2</v>
      </c>
      <c r="H76" s="57">
        <v>6</v>
      </c>
      <c r="I76" s="57" t="s">
        <v>315</v>
      </c>
      <c r="J76" s="100">
        <v>11557056</v>
      </c>
      <c r="K76" s="101">
        <v>70855</v>
      </c>
      <c r="L76" s="87" t="s">
        <v>296</v>
      </c>
      <c r="M76" s="87"/>
      <c r="N76" s="100">
        <v>4704764</v>
      </c>
      <c r="O76" s="101">
        <v>78532</v>
      </c>
      <c r="P76" s="87" t="s">
        <v>296</v>
      </c>
      <c r="Q76" s="99"/>
      <c r="R76" s="100">
        <v>4029646</v>
      </c>
      <c r="S76" s="101">
        <v>8487.0400000000009</v>
      </c>
      <c r="T76" s="87" t="s">
        <v>296</v>
      </c>
      <c r="U76" s="87"/>
      <c r="V76" s="226"/>
      <c r="W76" s="226"/>
    </row>
    <row r="77" spans="1:23" s="66" customFormat="1" ht="22.8" x14ac:dyDescent="0.3">
      <c r="A77" s="14">
        <v>3108</v>
      </c>
      <c r="B77" s="14" t="s">
        <v>121</v>
      </c>
      <c r="C77" s="14" t="s">
        <v>77</v>
      </c>
      <c r="D77" s="14">
        <v>13159</v>
      </c>
      <c r="E77" s="14">
        <v>2025</v>
      </c>
      <c r="F77" s="14" t="s">
        <v>276</v>
      </c>
      <c r="G77" s="14">
        <v>2</v>
      </c>
      <c r="H77" s="14">
        <v>6</v>
      </c>
      <c r="I77" s="14" t="s">
        <v>315</v>
      </c>
      <c r="J77" s="96">
        <v>0</v>
      </c>
      <c r="K77" s="97"/>
      <c r="L77" s="88"/>
      <c r="M77" s="88"/>
      <c r="N77" s="96">
        <v>0</v>
      </c>
      <c r="O77" s="97">
        <v>0</v>
      </c>
      <c r="P77" s="88"/>
      <c r="Q77" s="99"/>
      <c r="R77" s="96">
        <v>0</v>
      </c>
      <c r="S77" s="97">
        <v>0</v>
      </c>
      <c r="T77" s="88"/>
      <c r="U77" s="88"/>
      <c r="V77" s="227"/>
      <c r="W77" s="227"/>
    </row>
    <row r="78" spans="1:23" s="66" customFormat="1" ht="22.8" x14ac:dyDescent="0.3">
      <c r="A78" s="57">
        <v>14286</v>
      </c>
      <c r="B78" s="57" t="s">
        <v>113</v>
      </c>
      <c r="C78" s="57" t="s">
        <v>75</v>
      </c>
      <c r="D78" s="57">
        <v>14286</v>
      </c>
      <c r="E78" s="57">
        <v>2025</v>
      </c>
      <c r="F78" s="57" t="s">
        <v>275</v>
      </c>
      <c r="G78" s="57">
        <v>1</v>
      </c>
      <c r="H78" s="57">
        <v>3</v>
      </c>
      <c r="I78" s="57" t="s">
        <v>295</v>
      </c>
      <c r="J78" s="100">
        <v>6541192.3785714302</v>
      </c>
      <c r="K78" s="101">
        <v>76199.3057142857</v>
      </c>
      <c r="L78" s="87" t="s">
        <v>298</v>
      </c>
      <c r="M78" s="87" t="s">
        <v>298</v>
      </c>
      <c r="N78" s="100">
        <v>7174863.7342857104</v>
      </c>
      <c r="O78" s="101">
        <v>178753.628571429</v>
      </c>
      <c r="P78" s="87" t="s">
        <v>298</v>
      </c>
      <c r="Q78" s="99" t="s">
        <v>298</v>
      </c>
      <c r="R78" s="100">
        <v>371242.47</v>
      </c>
      <c r="S78" s="101">
        <v>1319.13</v>
      </c>
      <c r="T78" s="87" t="s">
        <v>298</v>
      </c>
      <c r="U78" s="87" t="s">
        <v>298</v>
      </c>
      <c r="V78" s="226"/>
      <c r="W78" s="226"/>
    </row>
    <row r="79" spans="1:23" s="66" customFormat="1" ht="34.200000000000003" x14ac:dyDescent="0.3">
      <c r="A79" s="14">
        <v>14426</v>
      </c>
      <c r="B79" s="14" t="s">
        <v>116</v>
      </c>
      <c r="C79" s="14" t="s">
        <v>83</v>
      </c>
      <c r="D79" s="14">
        <v>14286</v>
      </c>
      <c r="E79" s="14">
        <v>2025</v>
      </c>
      <c r="F79" s="14" t="s">
        <v>275</v>
      </c>
      <c r="G79" s="14">
        <v>1</v>
      </c>
      <c r="H79" s="14">
        <v>3</v>
      </c>
      <c r="I79" s="14" t="s">
        <v>295</v>
      </c>
      <c r="J79" s="96">
        <v>325785.78999999998</v>
      </c>
      <c r="K79" s="97">
        <v>3693.04</v>
      </c>
      <c r="L79" s="88" t="s">
        <v>298</v>
      </c>
      <c r="M79" s="88" t="s">
        <v>298</v>
      </c>
      <c r="N79" s="96">
        <v>242565.94</v>
      </c>
      <c r="O79" s="97">
        <v>13913.91</v>
      </c>
      <c r="P79" s="88" t="s">
        <v>298</v>
      </c>
      <c r="Q79" s="99" t="s">
        <v>298</v>
      </c>
      <c r="R79" s="96">
        <v>274000.82</v>
      </c>
      <c r="S79" s="97">
        <v>847.63</v>
      </c>
      <c r="T79" s="88" t="s">
        <v>298</v>
      </c>
      <c r="U79" s="88" t="s">
        <v>298</v>
      </c>
      <c r="V79" s="227"/>
      <c r="W79" s="227"/>
    </row>
    <row r="80" spans="1:23" s="66" customFormat="1" ht="22.8" x14ac:dyDescent="0.3">
      <c r="A80" s="57">
        <v>46</v>
      </c>
      <c r="B80" s="57" t="s">
        <v>115</v>
      </c>
      <c r="C80" s="57" t="s">
        <v>77</v>
      </c>
      <c r="D80" s="57">
        <v>14286</v>
      </c>
      <c r="E80" s="57">
        <v>2025</v>
      </c>
      <c r="F80" s="57" t="s">
        <v>275</v>
      </c>
      <c r="G80" s="57">
        <v>1</v>
      </c>
      <c r="H80" s="57">
        <v>3</v>
      </c>
      <c r="I80" s="57" t="s">
        <v>295</v>
      </c>
      <c r="J80" s="100">
        <v>6160774.5899999999</v>
      </c>
      <c r="K80" s="101">
        <v>71995.17</v>
      </c>
      <c r="L80" s="87" t="s">
        <v>298</v>
      </c>
      <c r="M80" s="87" t="s">
        <v>298</v>
      </c>
      <c r="N80" s="100">
        <v>6837909.4900000002</v>
      </c>
      <c r="O80" s="101">
        <v>162858.72</v>
      </c>
      <c r="P80" s="87" t="s">
        <v>298</v>
      </c>
      <c r="Q80" s="99" t="s">
        <v>298</v>
      </c>
      <c r="R80" s="100">
        <v>761.65</v>
      </c>
      <c r="S80" s="101">
        <v>10.7</v>
      </c>
      <c r="T80" s="87" t="s">
        <v>298</v>
      </c>
      <c r="U80" s="87" t="s">
        <v>298</v>
      </c>
      <c r="V80" s="226"/>
      <c r="W80" s="226"/>
    </row>
    <row r="81" spans="1:23" s="66" customFormat="1" ht="22.8" x14ac:dyDescent="0.3">
      <c r="A81" s="57">
        <v>8701</v>
      </c>
      <c r="B81" s="57" t="s">
        <v>692</v>
      </c>
      <c r="C81" s="57" t="s">
        <v>77</v>
      </c>
      <c r="D81" s="57">
        <v>14287</v>
      </c>
      <c r="E81" s="57">
        <v>2025</v>
      </c>
      <c r="F81" s="57" t="s">
        <v>275</v>
      </c>
      <c r="G81" s="57">
        <v>1</v>
      </c>
      <c r="H81" s="57">
        <v>3</v>
      </c>
      <c r="I81" s="57" t="s">
        <v>295</v>
      </c>
      <c r="J81" s="100">
        <v>1756530</v>
      </c>
      <c r="K81" s="101">
        <v>17528.689999999999</v>
      </c>
      <c r="L81" s="87" t="s">
        <v>298</v>
      </c>
      <c r="M81" s="87" t="s">
        <v>310</v>
      </c>
      <c r="N81" s="100">
        <v>0</v>
      </c>
      <c r="O81" s="101">
        <v>0</v>
      </c>
      <c r="P81" s="87"/>
      <c r="Q81" s="99"/>
      <c r="R81" s="100">
        <v>0</v>
      </c>
      <c r="S81" s="101">
        <v>0</v>
      </c>
      <c r="T81" s="87"/>
      <c r="U81" s="87"/>
      <c r="V81" s="227"/>
      <c r="W81" s="227"/>
    </row>
    <row r="82" spans="1:23" s="66" customFormat="1" ht="22.8" x14ac:dyDescent="0.3">
      <c r="A82" s="14">
        <v>14287</v>
      </c>
      <c r="B82" s="14" t="s">
        <v>117</v>
      </c>
      <c r="C82" s="14" t="s">
        <v>75</v>
      </c>
      <c r="D82" s="14">
        <v>14287</v>
      </c>
      <c r="E82" s="14">
        <v>2025</v>
      </c>
      <c r="F82" s="14" t="s">
        <v>275</v>
      </c>
      <c r="G82" s="14">
        <v>1</v>
      </c>
      <c r="H82" s="14">
        <v>3</v>
      </c>
      <c r="I82" s="14" t="s">
        <v>295</v>
      </c>
      <c r="J82" s="96">
        <v>8570929</v>
      </c>
      <c r="K82" s="97">
        <v>80296.039999999994</v>
      </c>
      <c r="L82" s="88" t="s">
        <v>298</v>
      </c>
      <c r="M82" s="88" t="s">
        <v>310</v>
      </c>
      <c r="N82" s="96">
        <v>5201399</v>
      </c>
      <c r="O82" s="97">
        <v>48603.42</v>
      </c>
      <c r="P82" s="88" t="s">
        <v>298</v>
      </c>
      <c r="Q82" s="99" t="s">
        <v>310</v>
      </c>
      <c r="R82" s="96">
        <v>943682</v>
      </c>
      <c r="S82" s="97">
        <v>2088.4899999999998</v>
      </c>
      <c r="T82" s="88" t="s">
        <v>298</v>
      </c>
      <c r="U82" s="88" t="s">
        <v>310</v>
      </c>
      <c r="V82" s="226"/>
      <c r="W82" s="226"/>
    </row>
    <row r="83" spans="1:23" s="66" customFormat="1" ht="22.8" x14ac:dyDescent="0.3">
      <c r="A83" s="57">
        <v>13198</v>
      </c>
      <c r="B83" s="57" t="s">
        <v>119</v>
      </c>
      <c r="C83" s="57" t="s">
        <v>83</v>
      </c>
      <c r="D83" s="57">
        <v>14287</v>
      </c>
      <c r="E83" s="57">
        <v>2025</v>
      </c>
      <c r="F83" s="57" t="s">
        <v>275</v>
      </c>
      <c r="G83" s="57">
        <v>1</v>
      </c>
      <c r="H83" s="57">
        <v>3</v>
      </c>
      <c r="I83" s="57" t="s">
        <v>295</v>
      </c>
      <c r="J83" s="100">
        <v>0</v>
      </c>
      <c r="K83" s="101"/>
      <c r="L83" s="87"/>
      <c r="M83" s="87"/>
      <c r="N83" s="100">
        <v>0</v>
      </c>
      <c r="O83" s="101">
        <v>0</v>
      </c>
      <c r="P83" s="87"/>
      <c r="Q83" s="99"/>
      <c r="R83" s="100">
        <v>0</v>
      </c>
      <c r="S83" s="101">
        <v>0</v>
      </c>
      <c r="T83" s="87"/>
      <c r="U83" s="87"/>
      <c r="V83" s="227"/>
      <c r="W83" s="227"/>
    </row>
    <row r="84" spans="1:23" s="66" customFormat="1" ht="22.8" x14ac:dyDescent="0.3">
      <c r="A84" s="14">
        <v>126</v>
      </c>
      <c r="B84" s="14" t="s">
        <v>693</v>
      </c>
      <c r="C84" s="14" t="s">
        <v>83</v>
      </c>
      <c r="D84" s="14">
        <v>14287</v>
      </c>
      <c r="E84" s="14">
        <v>2025</v>
      </c>
      <c r="F84" s="14" t="s">
        <v>275</v>
      </c>
      <c r="G84" s="14">
        <v>1</v>
      </c>
      <c r="H84" s="14">
        <v>3</v>
      </c>
      <c r="I84" s="14" t="s">
        <v>295</v>
      </c>
      <c r="J84" s="96">
        <v>1799751</v>
      </c>
      <c r="K84" s="97">
        <v>15882.35</v>
      </c>
      <c r="L84" s="88" t="s">
        <v>298</v>
      </c>
      <c r="M84" s="88" t="s">
        <v>310</v>
      </c>
      <c r="N84" s="96">
        <v>0</v>
      </c>
      <c r="O84" s="97">
        <v>0</v>
      </c>
      <c r="P84" s="88"/>
      <c r="Q84" s="99"/>
      <c r="R84" s="96">
        <v>0</v>
      </c>
      <c r="S84" s="97">
        <v>0</v>
      </c>
      <c r="T84" s="88"/>
      <c r="U84" s="88"/>
      <c r="V84" s="226"/>
      <c r="W84" s="226"/>
    </row>
    <row r="85" spans="1:23" s="66" customFormat="1" ht="22.8" x14ac:dyDescent="0.3">
      <c r="A85" s="57">
        <v>14418</v>
      </c>
      <c r="B85" s="57" t="s">
        <v>120</v>
      </c>
      <c r="C85" s="57" t="s">
        <v>83</v>
      </c>
      <c r="D85" s="57">
        <v>14287</v>
      </c>
      <c r="E85" s="57">
        <v>2025</v>
      </c>
      <c r="F85" s="57" t="s">
        <v>275</v>
      </c>
      <c r="G85" s="57">
        <v>1</v>
      </c>
      <c r="H85" s="57">
        <v>3</v>
      </c>
      <c r="I85" s="57" t="s">
        <v>295</v>
      </c>
      <c r="J85" s="100">
        <v>0</v>
      </c>
      <c r="K85" s="101"/>
      <c r="L85" s="87"/>
      <c r="M85" s="87"/>
      <c r="N85" s="100">
        <v>332182</v>
      </c>
      <c r="O85" s="101">
        <v>1386.42</v>
      </c>
      <c r="P85" s="87" t="s">
        <v>298</v>
      </c>
      <c r="Q85" s="99" t="s">
        <v>310</v>
      </c>
      <c r="R85" s="100">
        <v>943682</v>
      </c>
      <c r="S85" s="101">
        <v>2088.4899999999998</v>
      </c>
      <c r="T85" s="87" t="s">
        <v>298</v>
      </c>
      <c r="U85" s="87" t="s">
        <v>310</v>
      </c>
      <c r="V85" s="227"/>
      <c r="W85" s="227"/>
    </row>
    <row r="86" spans="1:23" s="66" customFormat="1" ht="22.8" x14ac:dyDescent="0.3">
      <c r="A86" s="14">
        <v>3107</v>
      </c>
      <c r="B86" s="14" t="s">
        <v>118</v>
      </c>
      <c r="C86" s="14" t="s">
        <v>77</v>
      </c>
      <c r="D86" s="14">
        <v>14287</v>
      </c>
      <c r="E86" s="14">
        <v>2025</v>
      </c>
      <c r="F86" s="14" t="s">
        <v>275</v>
      </c>
      <c r="G86" s="14">
        <v>1</v>
      </c>
      <c r="H86" s="14">
        <v>3</v>
      </c>
      <c r="I86" s="14" t="s">
        <v>295</v>
      </c>
      <c r="J86" s="96">
        <v>5014648</v>
      </c>
      <c r="K86" s="97">
        <v>46885</v>
      </c>
      <c r="L86" s="88" t="s">
        <v>298</v>
      </c>
      <c r="M86" s="88" t="s">
        <v>310</v>
      </c>
      <c r="N86" s="96">
        <v>4869217</v>
      </c>
      <c r="O86" s="97">
        <v>47217</v>
      </c>
      <c r="P86" s="88" t="s">
        <v>298</v>
      </c>
      <c r="Q86" s="99" t="s">
        <v>310</v>
      </c>
      <c r="R86" s="96">
        <v>0</v>
      </c>
      <c r="S86" s="97">
        <v>0</v>
      </c>
      <c r="T86" s="88"/>
      <c r="U86" s="88"/>
      <c r="V86" s="226"/>
      <c r="W86" s="226"/>
    </row>
    <row r="87" spans="1:23" s="66" customFormat="1" ht="34.200000000000003" x14ac:dyDescent="0.3">
      <c r="A87" s="14">
        <v>16532</v>
      </c>
      <c r="B87" s="14" t="s">
        <v>188</v>
      </c>
      <c r="C87" s="14" t="s">
        <v>83</v>
      </c>
      <c r="D87" s="14">
        <v>14288</v>
      </c>
      <c r="E87" s="14">
        <v>2025</v>
      </c>
      <c r="F87" s="14" t="s">
        <v>276</v>
      </c>
      <c r="G87" s="14">
        <v>2</v>
      </c>
      <c r="H87" s="14">
        <v>6</v>
      </c>
      <c r="I87" s="14" t="s">
        <v>315</v>
      </c>
      <c r="J87" s="96">
        <v>0</v>
      </c>
      <c r="K87" s="97">
        <v>0</v>
      </c>
      <c r="L87" s="88"/>
      <c r="M87" s="88"/>
      <c r="N87" s="96">
        <v>0</v>
      </c>
      <c r="O87" s="97">
        <v>0</v>
      </c>
      <c r="P87" s="88"/>
      <c r="Q87" s="99"/>
      <c r="R87" s="96">
        <v>0</v>
      </c>
      <c r="S87" s="97">
        <v>0</v>
      </c>
      <c r="T87" s="88"/>
      <c r="U87" s="88"/>
      <c r="V87" s="227"/>
      <c r="W87" s="227"/>
    </row>
    <row r="88" spans="1:23" s="66" customFormat="1" ht="22.8" x14ac:dyDescent="0.3">
      <c r="A88" s="57">
        <v>12151</v>
      </c>
      <c r="B88" s="57" t="s">
        <v>185</v>
      </c>
      <c r="C88" s="57" t="s">
        <v>83</v>
      </c>
      <c r="D88" s="57">
        <v>14288</v>
      </c>
      <c r="E88" s="57">
        <v>2025</v>
      </c>
      <c r="F88" s="57" t="s">
        <v>276</v>
      </c>
      <c r="G88" s="57">
        <v>2</v>
      </c>
      <c r="H88" s="57">
        <v>6</v>
      </c>
      <c r="I88" s="57" t="s">
        <v>315</v>
      </c>
      <c r="J88" s="100">
        <v>0</v>
      </c>
      <c r="K88" s="101">
        <v>0</v>
      </c>
      <c r="L88" s="87"/>
      <c r="M88" s="87"/>
      <c r="N88" s="100">
        <v>0</v>
      </c>
      <c r="O88" s="101">
        <v>0</v>
      </c>
      <c r="P88" s="87"/>
      <c r="Q88" s="99"/>
      <c r="R88" s="100">
        <v>90425</v>
      </c>
      <c r="S88" s="101">
        <v>204.5</v>
      </c>
      <c r="T88" s="87" t="s">
        <v>316</v>
      </c>
      <c r="U88" s="87" t="s">
        <v>317</v>
      </c>
      <c r="V88" s="226"/>
      <c r="W88" s="226"/>
    </row>
    <row r="89" spans="1:23" s="66" customFormat="1" ht="22.8" x14ac:dyDescent="0.3">
      <c r="A89" s="14">
        <v>6547</v>
      </c>
      <c r="B89" s="14" t="s">
        <v>184</v>
      </c>
      <c r="C89" s="14" t="s">
        <v>77</v>
      </c>
      <c r="D89" s="14">
        <v>14288</v>
      </c>
      <c r="E89" s="14">
        <v>2025</v>
      </c>
      <c r="F89" s="14" t="s">
        <v>276</v>
      </c>
      <c r="G89" s="14">
        <v>2</v>
      </c>
      <c r="H89" s="14">
        <v>6</v>
      </c>
      <c r="I89" s="14" t="s">
        <v>315</v>
      </c>
      <c r="J89" s="96">
        <v>1069511</v>
      </c>
      <c r="K89" s="97">
        <v>11460</v>
      </c>
      <c r="L89" s="88" t="s">
        <v>298</v>
      </c>
      <c r="M89" s="88" t="s">
        <v>318</v>
      </c>
      <c r="N89" s="96">
        <v>178595</v>
      </c>
      <c r="O89" s="97">
        <v>1623</v>
      </c>
      <c r="P89" s="88" t="s">
        <v>298</v>
      </c>
      <c r="Q89" s="99" t="s">
        <v>318</v>
      </c>
      <c r="R89" s="96">
        <v>0</v>
      </c>
      <c r="S89" s="97">
        <v>0</v>
      </c>
      <c r="T89" s="88"/>
      <c r="U89" s="88"/>
      <c r="V89" s="227"/>
      <c r="W89" s="227"/>
    </row>
    <row r="90" spans="1:23" s="66" customFormat="1" ht="22.8" x14ac:dyDescent="0.3">
      <c r="A90" s="57">
        <v>16533</v>
      </c>
      <c r="B90" s="57" t="s">
        <v>189</v>
      </c>
      <c r="C90" s="57" t="s">
        <v>83</v>
      </c>
      <c r="D90" s="57">
        <v>14288</v>
      </c>
      <c r="E90" s="57">
        <v>2025</v>
      </c>
      <c r="F90" s="57" t="s">
        <v>276</v>
      </c>
      <c r="G90" s="57">
        <v>2</v>
      </c>
      <c r="H90" s="57">
        <v>6</v>
      </c>
      <c r="I90" s="57" t="s">
        <v>315</v>
      </c>
      <c r="J90" s="100">
        <v>0</v>
      </c>
      <c r="K90" s="101">
        <v>0</v>
      </c>
      <c r="L90" s="87"/>
      <c r="M90" s="87"/>
      <c r="N90" s="100">
        <v>0</v>
      </c>
      <c r="O90" s="101">
        <v>0</v>
      </c>
      <c r="P90" s="87"/>
      <c r="Q90" s="99"/>
      <c r="R90" s="100">
        <v>632732</v>
      </c>
      <c r="S90" s="101">
        <v>1813.5</v>
      </c>
      <c r="T90" s="87" t="s">
        <v>316</v>
      </c>
      <c r="U90" s="87" t="s">
        <v>317</v>
      </c>
      <c r="V90" s="226"/>
      <c r="W90" s="226"/>
    </row>
    <row r="91" spans="1:23" s="66" customFormat="1" ht="22.8" x14ac:dyDescent="0.3">
      <c r="A91" s="14">
        <v>14288</v>
      </c>
      <c r="B91" s="14" t="s">
        <v>183</v>
      </c>
      <c r="C91" s="14" t="s">
        <v>75</v>
      </c>
      <c r="D91" s="14">
        <v>14288</v>
      </c>
      <c r="E91" s="14">
        <v>2025</v>
      </c>
      <c r="F91" s="14" t="s">
        <v>276</v>
      </c>
      <c r="G91" s="14">
        <v>2</v>
      </c>
      <c r="H91" s="14">
        <v>6</v>
      </c>
      <c r="I91" s="14" t="s">
        <v>315</v>
      </c>
      <c r="J91" s="96">
        <v>38256982</v>
      </c>
      <c r="K91" s="97">
        <v>380320</v>
      </c>
      <c r="L91" s="88" t="s">
        <v>298</v>
      </c>
      <c r="M91" s="88" t="s">
        <v>318</v>
      </c>
      <c r="N91" s="96">
        <v>21805905</v>
      </c>
      <c r="O91" s="97">
        <v>303726</v>
      </c>
      <c r="P91" s="88" t="s">
        <v>298</v>
      </c>
      <c r="Q91" s="99" t="s">
        <v>318</v>
      </c>
      <c r="R91" s="96">
        <v>250050</v>
      </c>
      <c r="S91" s="97">
        <v>3405</v>
      </c>
      <c r="T91" s="88" t="s">
        <v>298</v>
      </c>
      <c r="U91" s="88" t="s">
        <v>318</v>
      </c>
      <c r="V91" s="227"/>
      <c r="W91" s="227"/>
    </row>
    <row r="92" spans="1:23" s="66" customFormat="1" ht="22.8" x14ac:dyDescent="0.3">
      <c r="A92" s="57">
        <v>14425</v>
      </c>
      <c r="B92" s="57" t="s">
        <v>187</v>
      </c>
      <c r="C92" s="57" t="s">
        <v>83</v>
      </c>
      <c r="D92" s="57">
        <v>14288</v>
      </c>
      <c r="E92" s="57">
        <v>2025</v>
      </c>
      <c r="F92" s="57" t="s">
        <v>276</v>
      </c>
      <c r="G92" s="57">
        <v>2</v>
      </c>
      <c r="H92" s="57">
        <v>6</v>
      </c>
      <c r="I92" s="57" t="s">
        <v>315</v>
      </c>
      <c r="J92" s="100">
        <v>0</v>
      </c>
      <c r="K92" s="101">
        <v>0</v>
      </c>
      <c r="L92" s="87"/>
      <c r="M92" s="87"/>
      <c r="N92" s="100">
        <v>0</v>
      </c>
      <c r="O92" s="101">
        <v>0</v>
      </c>
      <c r="P92" s="87"/>
      <c r="Q92" s="99"/>
      <c r="R92" s="100">
        <v>0</v>
      </c>
      <c r="S92" s="101">
        <v>0</v>
      </c>
      <c r="T92" s="87"/>
      <c r="U92" s="87"/>
      <c r="V92" s="226"/>
      <c r="W92" s="226"/>
    </row>
    <row r="93" spans="1:23" s="66" customFormat="1" ht="22.8" x14ac:dyDescent="0.3">
      <c r="A93" s="14">
        <v>14424</v>
      </c>
      <c r="B93" s="14" t="s">
        <v>186</v>
      </c>
      <c r="C93" s="14" t="s">
        <v>83</v>
      </c>
      <c r="D93" s="14">
        <v>14288</v>
      </c>
      <c r="E93" s="14">
        <v>2025</v>
      </c>
      <c r="F93" s="14" t="s">
        <v>276</v>
      </c>
      <c r="G93" s="14">
        <v>2</v>
      </c>
      <c r="H93" s="14">
        <v>6</v>
      </c>
      <c r="I93" s="14" t="s">
        <v>315</v>
      </c>
      <c r="J93" s="96">
        <v>0</v>
      </c>
      <c r="K93" s="97">
        <v>0</v>
      </c>
      <c r="L93" s="88"/>
      <c r="M93" s="88"/>
      <c r="N93" s="96">
        <v>0</v>
      </c>
      <c r="O93" s="97">
        <v>0</v>
      </c>
      <c r="P93" s="88"/>
      <c r="Q93" s="99"/>
      <c r="R93" s="96">
        <v>446449</v>
      </c>
      <c r="S93" s="97">
        <v>1153</v>
      </c>
      <c r="T93" s="88" t="s">
        <v>316</v>
      </c>
      <c r="U93" s="88" t="s">
        <v>317</v>
      </c>
      <c r="V93" s="227"/>
      <c r="W93" s="227"/>
    </row>
    <row r="94" spans="1:23" s="66" customFormat="1" ht="22.8" x14ac:dyDescent="0.3">
      <c r="A94" s="14">
        <v>8655</v>
      </c>
      <c r="B94" s="14" t="s">
        <v>109</v>
      </c>
      <c r="C94" s="14" t="s">
        <v>83</v>
      </c>
      <c r="D94" s="14">
        <v>16665</v>
      </c>
      <c r="E94" s="14">
        <v>2025</v>
      </c>
      <c r="F94" s="14" t="s">
        <v>275</v>
      </c>
      <c r="G94" s="14">
        <v>1</v>
      </c>
      <c r="H94" s="14">
        <v>3</v>
      </c>
      <c r="I94" s="14" t="s">
        <v>295</v>
      </c>
      <c r="J94" s="96">
        <v>0</v>
      </c>
      <c r="K94" s="97">
        <v>0</v>
      </c>
      <c r="L94" s="88" t="s">
        <v>298</v>
      </c>
      <c r="M94" s="88" t="s">
        <v>319</v>
      </c>
      <c r="N94" s="96">
        <v>0</v>
      </c>
      <c r="O94" s="97">
        <v>0</v>
      </c>
      <c r="P94" s="88" t="s">
        <v>298</v>
      </c>
      <c r="Q94" s="99" t="s">
        <v>319</v>
      </c>
      <c r="R94" s="96">
        <v>0</v>
      </c>
      <c r="S94" s="97">
        <v>0</v>
      </c>
      <c r="T94" s="88" t="s">
        <v>298</v>
      </c>
      <c r="U94" s="88" t="s">
        <v>319</v>
      </c>
      <c r="V94" s="226"/>
      <c r="W94" s="226"/>
    </row>
    <row r="95" spans="1:23" s="66" customFormat="1" ht="22.8" x14ac:dyDescent="0.3">
      <c r="A95" s="57">
        <v>12022</v>
      </c>
      <c r="B95" s="57" t="s">
        <v>112</v>
      </c>
      <c r="C95" s="57" t="s">
        <v>83</v>
      </c>
      <c r="D95" s="57">
        <v>16665</v>
      </c>
      <c r="E95" s="57">
        <v>2025</v>
      </c>
      <c r="F95" s="57" t="s">
        <v>275</v>
      </c>
      <c r="G95" s="57">
        <v>1</v>
      </c>
      <c r="H95" s="57">
        <v>3</v>
      </c>
      <c r="I95" s="57" t="s">
        <v>295</v>
      </c>
      <c r="J95" s="100">
        <v>0</v>
      </c>
      <c r="K95" s="101">
        <v>0</v>
      </c>
      <c r="L95" s="87" t="s">
        <v>298</v>
      </c>
      <c r="M95" s="87" t="s">
        <v>319</v>
      </c>
      <c r="N95" s="100">
        <v>0</v>
      </c>
      <c r="O95" s="101">
        <v>0</v>
      </c>
      <c r="P95" s="87" t="s">
        <v>298</v>
      </c>
      <c r="Q95" s="99" t="s">
        <v>319</v>
      </c>
      <c r="R95" s="100">
        <v>0</v>
      </c>
      <c r="S95" s="101">
        <v>0</v>
      </c>
      <c r="T95" s="87" t="s">
        <v>298</v>
      </c>
      <c r="U95" s="87" t="s">
        <v>319</v>
      </c>
      <c r="V95" s="227"/>
      <c r="W95" s="227"/>
    </row>
    <row r="96" spans="1:23" s="66" customFormat="1" ht="22.8" x14ac:dyDescent="0.3">
      <c r="A96" s="14">
        <v>79</v>
      </c>
      <c r="B96" s="14" t="s">
        <v>94</v>
      </c>
      <c r="C96" s="14" t="s">
        <v>77</v>
      </c>
      <c r="D96" s="14">
        <v>16665</v>
      </c>
      <c r="E96" s="14">
        <v>2025</v>
      </c>
      <c r="F96" s="14" t="s">
        <v>275</v>
      </c>
      <c r="G96" s="14">
        <v>1</v>
      </c>
      <c r="H96" s="14">
        <v>3</v>
      </c>
      <c r="I96" s="14" t="s">
        <v>295</v>
      </c>
      <c r="J96" s="96">
        <v>1042367</v>
      </c>
      <c r="K96" s="97">
        <v>11263</v>
      </c>
      <c r="L96" s="88" t="s">
        <v>298</v>
      </c>
      <c r="M96" s="88" t="s">
        <v>319</v>
      </c>
      <c r="N96" s="96">
        <v>645879</v>
      </c>
      <c r="O96" s="97">
        <v>7083</v>
      </c>
      <c r="P96" s="88" t="s">
        <v>298</v>
      </c>
      <c r="Q96" s="99" t="s">
        <v>319</v>
      </c>
      <c r="R96" s="96">
        <v>6407457</v>
      </c>
      <c r="S96" s="97">
        <v>0</v>
      </c>
      <c r="T96" s="88" t="s">
        <v>298</v>
      </c>
      <c r="U96" s="88" t="s">
        <v>319</v>
      </c>
      <c r="V96" s="226"/>
      <c r="W96" s="226"/>
    </row>
    <row r="97" spans="1:23" s="66" customFormat="1" ht="22.8" x14ac:dyDescent="0.3">
      <c r="A97" s="57">
        <v>3112</v>
      </c>
      <c r="B97" s="57" t="s">
        <v>100</v>
      </c>
      <c r="C97" s="57" t="s">
        <v>77</v>
      </c>
      <c r="D97" s="57">
        <v>16665</v>
      </c>
      <c r="E97" s="57">
        <v>2025</v>
      </c>
      <c r="F97" s="57" t="s">
        <v>275</v>
      </c>
      <c r="G97" s="57">
        <v>1</v>
      </c>
      <c r="H97" s="57">
        <v>3</v>
      </c>
      <c r="I97" s="57" t="s">
        <v>295</v>
      </c>
      <c r="J97" s="100">
        <v>1230837.34910777</v>
      </c>
      <c r="K97" s="101">
        <v>11043.8970020131</v>
      </c>
      <c r="L97" s="87" t="s">
        <v>298</v>
      </c>
      <c r="M97" s="87" t="s">
        <v>319</v>
      </c>
      <c r="N97" s="100">
        <v>671802.69089223398</v>
      </c>
      <c r="O97" s="101">
        <v>6402.2308086610701</v>
      </c>
      <c r="P97" s="87" t="s">
        <v>298</v>
      </c>
      <c r="Q97" s="99" t="s">
        <v>319</v>
      </c>
      <c r="R97" s="100">
        <v>0</v>
      </c>
      <c r="S97" s="101">
        <v>0</v>
      </c>
      <c r="T97" s="87" t="s">
        <v>298</v>
      </c>
      <c r="U97" s="87" t="s">
        <v>319</v>
      </c>
      <c r="V97" s="227"/>
      <c r="W97" s="227"/>
    </row>
    <row r="98" spans="1:23" s="66" customFormat="1" ht="22.8" x14ac:dyDescent="0.3">
      <c r="A98" s="14">
        <v>1</v>
      </c>
      <c r="B98" s="14" t="s">
        <v>91</v>
      </c>
      <c r="C98" s="14" t="s">
        <v>77</v>
      </c>
      <c r="D98" s="14">
        <v>16665</v>
      </c>
      <c r="E98" s="14">
        <v>2025</v>
      </c>
      <c r="F98" s="14" t="s">
        <v>275</v>
      </c>
      <c r="G98" s="14">
        <v>1</v>
      </c>
      <c r="H98" s="14">
        <v>3</v>
      </c>
      <c r="I98" s="14" t="s">
        <v>295</v>
      </c>
      <c r="J98" s="96">
        <v>448389.71</v>
      </c>
      <c r="K98" s="97">
        <v>4053.29</v>
      </c>
      <c r="L98" s="88" t="s">
        <v>298</v>
      </c>
      <c r="M98" s="88" t="s">
        <v>319</v>
      </c>
      <c r="N98" s="96">
        <v>157937.13</v>
      </c>
      <c r="O98" s="97">
        <v>1856.29</v>
      </c>
      <c r="P98" s="88" t="s">
        <v>298</v>
      </c>
      <c r="Q98" s="99" t="s">
        <v>319</v>
      </c>
      <c r="R98" s="96">
        <v>0</v>
      </c>
      <c r="S98" s="97">
        <v>0</v>
      </c>
      <c r="T98" s="88" t="s">
        <v>298</v>
      </c>
      <c r="U98" s="88" t="s">
        <v>319</v>
      </c>
      <c r="V98" s="226"/>
      <c r="W98" s="226"/>
    </row>
    <row r="99" spans="1:23" s="66" customFormat="1" ht="22.8" x14ac:dyDescent="0.3">
      <c r="A99" s="57">
        <v>53</v>
      </c>
      <c r="B99" s="57" t="s">
        <v>93</v>
      </c>
      <c r="C99" s="57" t="s">
        <v>77</v>
      </c>
      <c r="D99" s="57">
        <v>16665</v>
      </c>
      <c r="E99" s="57">
        <v>2025</v>
      </c>
      <c r="F99" s="57" t="s">
        <v>275</v>
      </c>
      <c r="G99" s="57">
        <v>1</v>
      </c>
      <c r="H99" s="57">
        <v>3</v>
      </c>
      <c r="I99" s="57" t="s">
        <v>295</v>
      </c>
      <c r="J99" s="100">
        <v>45321</v>
      </c>
      <c r="K99" s="101">
        <v>436</v>
      </c>
      <c r="L99" s="87" t="s">
        <v>298</v>
      </c>
      <c r="M99" s="87" t="s">
        <v>319</v>
      </c>
      <c r="N99" s="100">
        <v>0</v>
      </c>
      <c r="O99" s="101">
        <v>0</v>
      </c>
      <c r="P99" s="87" t="s">
        <v>298</v>
      </c>
      <c r="Q99" s="99" t="s">
        <v>319</v>
      </c>
      <c r="R99" s="100">
        <v>3023022</v>
      </c>
      <c r="S99" s="101">
        <v>0</v>
      </c>
      <c r="T99" s="87" t="s">
        <v>298</v>
      </c>
      <c r="U99" s="87" t="s">
        <v>319</v>
      </c>
      <c r="V99" s="227"/>
      <c r="W99" s="227"/>
    </row>
    <row r="100" spans="1:23" s="66" customFormat="1" ht="22.8" x14ac:dyDescent="0.3">
      <c r="A100" s="14">
        <v>138</v>
      </c>
      <c r="B100" s="14" t="s">
        <v>101</v>
      </c>
      <c r="C100" s="14" t="s">
        <v>77</v>
      </c>
      <c r="D100" s="14">
        <v>16665</v>
      </c>
      <c r="E100" s="14">
        <v>2025</v>
      </c>
      <c r="F100" s="14" t="s">
        <v>275</v>
      </c>
      <c r="G100" s="14">
        <v>1</v>
      </c>
      <c r="H100" s="14">
        <v>3</v>
      </c>
      <c r="I100" s="14" t="s">
        <v>295</v>
      </c>
      <c r="J100" s="96">
        <v>354822</v>
      </c>
      <c r="K100" s="97">
        <v>4052</v>
      </c>
      <c r="L100" s="88" t="s">
        <v>298</v>
      </c>
      <c r="M100" s="88" t="s">
        <v>319</v>
      </c>
      <c r="N100" s="96">
        <v>307143</v>
      </c>
      <c r="O100" s="97">
        <v>2751</v>
      </c>
      <c r="P100" s="88" t="s">
        <v>298</v>
      </c>
      <c r="Q100" s="99" t="s">
        <v>319</v>
      </c>
      <c r="R100" s="96">
        <v>0</v>
      </c>
      <c r="S100" s="97">
        <v>0</v>
      </c>
      <c r="T100" s="88" t="s">
        <v>298</v>
      </c>
      <c r="U100" s="88" t="s">
        <v>319</v>
      </c>
      <c r="V100" s="226"/>
      <c r="W100" s="226"/>
    </row>
    <row r="101" spans="1:23" s="66" customFormat="1" ht="22.8" x14ac:dyDescent="0.3">
      <c r="A101" s="57">
        <v>6546</v>
      </c>
      <c r="B101" s="57" t="s">
        <v>96</v>
      </c>
      <c r="C101" s="57" t="s">
        <v>77</v>
      </c>
      <c r="D101" s="57">
        <v>16665</v>
      </c>
      <c r="E101" s="57">
        <v>2025</v>
      </c>
      <c r="F101" s="57" t="s">
        <v>275</v>
      </c>
      <c r="G101" s="57">
        <v>1</v>
      </c>
      <c r="H101" s="57">
        <v>3</v>
      </c>
      <c r="I101" s="57" t="s">
        <v>295</v>
      </c>
      <c r="J101" s="100">
        <v>1858229.41</v>
      </c>
      <c r="K101" s="101">
        <v>16699</v>
      </c>
      <c r="L101" s="87" t="s">
        <v>298</v>
      </c>
      <c r="M101" s="87" t="s">
        <v>319</v>
      </c>
      <c r="N101" s="100">
        <v>154930</v>
      </c>
      <c r="O101" s="101">
        <v>1728.25</v>
      </c>
      <c r="P101" s="87" t="s">
        <v>298</v>
      </c>
      <c r="Q101" s="99" t="s">
        <v>319</v>
      </c>
      <c r="R101" s="100">
        <v>0</v>
      </c>
      <c r="S101" s="101">
        <v>0</v>
      </c>
      <c r="T101" s="87" t="s">
        <v>298</v>
      </c>
      <c r="U101" s="87" t="s">
        <v>319</v>
      </c>
      <c r="V101" s="227"/>
      <c r="W101" s="227"/>
    </row>
    <row r="102" spans="1:23" s="66" customFormat="1" ht="22.8" x14ac:dyDescent="0.3">
      <c r="A102" s="14">
        <v>11801</v>
      </c>
      <c r="B102" s="14" t="s">
        <v>102</v>
      </c>
      <c r="C102" s="14" t="s">
        <v>83</v>
      </c>
      <c r="D102" s="14">
        <v>16665</v>
      </c>
      <c r="E102" s="14">
        <v>2025</v>
      </c>
      <c r="F102" s="14" t="s">
        <v>275</v>
      </c>
      <c r="G102" s="14">
        <v>1</v>
      </c>
      <c r="H102" s="14">
        <v>3</v>
      </c>
      <c r="I102" s="14" t="s">
        <v>295</v>
      </c>
      <c r="J102" s="96">
        <v>84069.67</v>
      </c>
      <c r="K102" s="97">
        <v>1006.25</v>
      </c>
      <c r="L102" s="88" t="s">
        <v>298</v>
      </c>
      <c r="M102" s="88" t="s">
        <v>319</v>
      </c>
      <c r="N102" s="96">
        <v>39941.25</v>
      </c>
      <c r="O102" s="97">
        <v>1122.25</v>
      </c>
      <c r="P102" s="88" t="s">
        <v>298</v>
      </c>
      <c r="Q102" s="99" t="s">
        <v>319</v>
      </c>
      <c r="R102" s="96">
        <v>13028</v>
      </c>
      <c r="S102" s="97">
        <v>0</v>
      </c>
      <c r="T102" s="88" t="s">
        <v>298</v>
      </c>
      <c r="U102" s="88" t="s">
        <v>319</v>
      </c>
      <c r="V102" s="226"/>
      <c r="W102" s="226"/>
    </row>
    <row r="103" spans="1:23" s="66" customFormat="1" ht="22.8" x14ac:dyDescent="0.3">
      <c r="A103" s="57">
        <v>16665</v>
      </c>
      <c r="B103" s="57" t="s">
        <v>90</v>
      </c>
      <c r="C103" s="57" t="s">
        <v>75</v>
      </c>
      <c r="D103" s="57">
        <v>16665</v>
      </c>
      <c r="E103" s="57">
        <v>2025</v>
      </c>
      <c r="F103" s="57" t="s">
        <v>275</v>
      </c>
      <c r="G103" s="57">
        <v>1</v>
      </c>
      <c r="H103" s="57">
        <v>3</v>
      </c>
      <c r="I103" s="57" t="s">
        <v>295</v>
      </c>
      <c r="J103" s="100">
        <v>8914089.8191077597</v>
      </c>
      <c r="K103" s="101">
        <v>85303.960189311401</v>
      </c>
      <c r="L103" s="87" t="s">
        <v>298</v>
      </c>
      <c r="M103" s="87" t="s">
        <v>319</v>
      </c>
      <c r="N103" s="100">
        <v>5463563.0408922303</v>
      </c>
      <c r="O103" s="101">
        <v>55660.7699029594</v>
      </c>
      <c r="P103" s="87" t="s">
        <v>298</v>
      </c>
      <c r="Q103" s="99" t="s">
        <v>319</v>
      </c>
      <c r="R103" s="100">
        <v>18710552.02</v>
      </c>
      <c r="S103" s="101">
        <v>18492.144749999999</v>
      </c>
      <c r="T103" s="87" t="s">
        <v>298</v>
      </c>
      <c r="U103" s="87" t="s">
        <v>319</v>
      </c>
      <c r="V103" s="227"/>
      <c r="W103" s="227"/>
    </row>
    <row r="104" spans="1:23" s="66" customFormat="1" ht="22.8" x14ac:dyDescent="0.3">
      <c r="A104" s="14">
        <v>103</v>
      </c>
      <c r="B104" s="14" t="s">
        <v>98</v>
      </c>
      <c r="C104" s="14" t="s">
        <v>77</v>
      </c>
      <c r="D104" s="14">
        <v>16665</v>
      </c>
      <c r="E104" s="14">
        <v>2025</v>
      </c>
      <c r="F104" s="14" t="s">
        <v>275</v>
      </c>
      <c r="G104" s="14">
        <v>1</v>
      </c>
      <c r="H104" s="14">
        <v>3</v>
      </c>
      <c r="I104" s="14" t="s">
        <v>295</v>
      </c>
      <c r="J104" s="96">
        <v>7744</v>
      </c>
      <c r="K104" s="97">
        <v>73.75</v>
      </c>
      <c r="L104" s="88" t="s">
        <v>298</v>
      </c>
      <c r="M104" s="88" t="s">
        <v>319</v>
      </c>
      <c r="N104" s="96">
        <v>95123</v>
      </c>
      <c r="O104" s="97">
        <v>1040.5</v>
      </c>
      <c r="P104" s="88" t="s">
        <v>298</v>
      </c>
      <c r="Q104" s="99" t="s">
        <v>319</v>
      </c>
      <c r="R104" s="96">
        <v>0</v>
      </c>
      <c r="S104" s="97">
        <v>0</v>
      </c>
      <c r="T104" s="88" t="s">
        <v>298</v>
      </c>
      <c r="U104" s="88" t="s">
        <v>319</v>
      </c>
      <c r="V104" s="226"/>
      <c r="W104" s="226"/>
    </row>
    <row r="105" spans="1:23" s="66" customFormat="1" ht="22.8" x14ac:dyDescent="0.3">
      <c r="A105" s="57">
        <v>98</v>
      </c>
      <c r="B105" s="57" t="s">
        <v>92</v>
      </c>
      <c r="C105" s="57" t="s">
        <v>77</v>
      </c>
      <c r="D105" s="57">
        <v>16665</v>
      </c>
      <c r="E105" s="57">
        <v>2025</v>
      </c>
      <c r="F105" s="57" t="s">
        <v>275</v>
      </c>
      <c r="G105" s="57">
        <v>1</v>
      </c>
      <c r="H105" s="57">
        <v>3</v>
      </c>
      <c r="I105" s="57" t="s">
        <v>295</v>
      </c>
      <c r="J105" s="100">
        <v>1521807</v>
      </c>
      <c r="K105" s="101">
        <v>14464</v>
      </c>
      <c r="L105" s="87" t="s">
        <v>298</v>
      </c>
      <c r="M105" s="87" t="s">
        <v>319</v>
      </c>
      <c r="N105" s="100">
        <v>218304</v>
      </c>
      <c r="O105" s="101">
        <v>2361</v>
      </c>
      <c r="P105" s="87" t="s">
        <v>298</v>
      </c>
      <c r="Q105" s="99" t="s">
        <v>319</v>
      </c>
      <c r="R105" s="100">
        <v>3568317</v>
      </c>
      <c r="S105" s="101">
        <v>0</v>
      </c>
      <c r="T105" s="87" t="s">
        <v>298</v>
      </c>
      <c r="U105" s="87" t="s">
        <v>319</v>
      </c>
      <c r="V105" s="227"/>
      <c r="W105" s="227"/>
    </row>
    <row r="106" spans="1:23" s="66" customFormat="1" ht="22.8" x14ac:dyDescent="0.3">
      <c r="A106" s="14">
        <v>100</v>
      </c>
      <c r="B106" s="14" t="s">
        <v>97</v>
      </c>
      <c r="C106" s="14" t="s">
        <v>77</v>
      </c>
      <c r="D106" s="14">
        <v>16665</v>
      </c>
      <c r="E106" s="14">
        <v>2025</v>
      </c>
      <c r="F106" s="14" t="s">
        <v>275</v>
      </c>
      <c r="G106" s="14">
        <v>1</v>
      </c>
      <c r="H106" s="14">
        <v>3</v>
      </c>
      <c r="I106" s="14" t="s">
        <v>295</v>
      </c>
      <c r="J106" s="96">
        <v>885832</v>
      </c>
      <c r="K106" s="97">
        <v>7521.0731872983497</v>
      </c>
      <c r="L106" s="88" t="s">
        <v>298</v>
      </c>
      <c r="M106" s="88" t="s">
        <v>319</v>
      </c>
      <c r="N106" s="96">
        <v>885832</v>
      </c>
      <c r="O106" s="97">
        <v>7521.0731872983497</v>
      </c>
      <c r="P106" s="88" t="s">
        <v>298</v>
      </c>
      <c r="Q106" s="99" t="s">
        <v>319</v>
      </c>
      <c r="R106" s="96">
        <v>0</v>
      </c>
      <c r="S106" s="97">
        <v>0</v>
      </c>
      <c r="T106" s="88" t="s">
        <v>298</v>
      </c>
      <c r="U106" s="88" t="s">
        <v>319</v>
      </c>
      <c r="V106" s="226"/>
      <c r="W106" s="226"/>
    </row>
    <row r="107" spans="1:23" s="66" customFormat="1" ht="22.8" x14ac:dyDescent="0.3">
      <c r="A107" s="57">
        <v>14422</v>
      </c>
      <c r="B107" s="57" t="s">
        <v>107</v>
      </c>
      <c r="C107" s="57" t="s">
        <v>83</v>
      </c>
      <c r="D107" s="57">
        <v>16665</v>
      </c>
      <c r="E107" s="57">
        <v>2025</v>
      </c>
      <c r="F107" s="57" t="s">
        <v>275</v>
      </c>
      <c r="G107" s="57">
        <v>1</v>
      </c>
      <c r="H107" s="57">
        <v>3</v>
      </c>
      <c r="I107" s="57" t="s">
        <v>295</v>
      </c>
      <c r="J107" s="100">
        <v>0</v>
      </c>
      <c r="K107" s="101">
        <v>0</v>
      </c>
      <c r="L107" s="87" t="s">
        <v>298</v>
      </c>
      <c r="M107" s="87" t="s">
        <v>319</v>
      </c>
      <c r="N107" s="100">
        <v>0</v>
      </c>
      <c r="O107" s="101">
        <v>0</v>
      </c>
      <c r="P107" s="87" t="s">
        <v>298</v>
      </c>
      <c r="Q107" s="99" t="s">
        <v>319</v>
      </c>
      <c r="R107" s="100">
        <v>0</v>
      </c>
      <c r="S107" s="101">
        <v>0</v>
      </c>
      <c r="T107" s="87" t="s">
        <v>298</v>
      </c>
      <c r="U107" s="87" t="s">
        <v>319</v>
      </c>
      <c r="V107" s="227"/>
      <c r="W107" s="227"/>
    </row>
    <row r="108" spans="1:23" s="66" customFormat="1" ht="22.8" x14ac:dyDescent="0.3">
      <c r="A108" s="14">
        <v>11404</v>
      </c>
      <c r="B108" s="14" t="s">
        <v>108</v>
      </c>
      <c r="C108" s="14" t="s">
        <v>83</v>
      </c>
      <c r="D108" s="14">
        <v>16665</v>
      </c>
      <c r="E108" s="14">
        <v>2025</v>
      </c>
      <c r="F108" s="14" t="s">
        <v>275</v>
      </c>
      <c r="G108" s="14">
        <v>1</v>
      </c>
      <c r="H108" s="14">
        <v>3</v>
      </c>
      <c r="I108" s="14" t="s">
        <v>295</v>
      </c>
      <c r="J108" s="96">
        <v>0</v>
      </c>
      <c r="K108" s="97">
        <v>0</v>
      </c>
      <c r="L108" s="88" t="s">
        <v>298</v>
      </c>
      <c r="M108" s="88" t="s">
        <v>319</v>
      </c>
      <c r="N108" s="96">
        <v>0</v>
      </c>
      <c r="O108" s="97">
        <v>0</v>
      </c>
      <c r="P108" s="88" t="s">
        <v>298</v>
      </c>
      <c r="Q108" s="99" t="s">
        <v>319</v>
      </c>
      <c r="R108" s="96">
        <v>0</v>
      </c>
      <c r="S108" s="97">
        <v>0</v>
      </c>
      <c r="T108" s="88" t="s">
        <v>298</v>
      </c>
      <c r="U108" s="88" t="s">
        <v>319</v>
      </c>
      <c r="V108" s="226"/>
      <c r="W108" s="226"/>
    </row>
    <row r="109" spans="1:23" s="66" customFormat="1" ht="22.8" x14ac:dyDescent="0.3">
      <c r="A109" s="57">
        <v>11761</v>
      </c>
      <c r="B109" s="57" t="s">
        <v>103</v>
      </c>
      <c r="C109" s="57" t="s">
        <v>83</v>
      </c>
      <c r="D109" s="57">
        <v>16665</v>
      </c>
      <c r="E109" s="57">
        <v>2025</v>
      </c>
      <c r="F109" s="57" t="s">
        <v>275</v>
      </c>
      <c r="G109" s="57">
        <v>1</v>
      </c>
      <c r="H109" s="57">
        <v>3</v>
      </c>
      <c r="I109" s="57" t="s">
        <v>295</v>
      </c>
      <c r="J109" s="100">
        <v>0</v>
      </c>
      <c r="K109" s="101">
        <v>0</v>
      </c>
      <c r="L109" s="87" t="s">
        <v>298</v>
      </c>
      <c r="M109" s="87" t="s">
        <v>319</v>
      </c>
      <c r="N109" s="100">
        <v>0</v>
      </c>
      <c r="O109" s="101">
        <v>0</v>
      </c>
      <c r="P109" s="87" t="s">
        <v>298</v>
      </c>
      <c r="Q109" s="99" t="s">
        <v>319</v>
      </c>
      <c r="R109" s="100">
        <v>262553</v>
      </c>
      <c r="S109" s="101">
        <v>0</v>
      </c>
      <c r="T109" s="87" t="s">
        <v>298</v>
      </c>
      <c r="U109" s="87" t="s">
        <v>319</v>
      </c>
      <c r="V109" s="227"/>
      <c r="W109" s="227"/>
    </row>
    <row r="110" spans="1:23" s="66" customFormat="1" ht="22.8" x14ac:dyDescent="0.3">
      <c r="A110" s="14">
        <v>11915</v>
      </c>
      <c r="B110" s="14" t="s">
        <v>111</v>
      </c>
      <c r="C110" s="14" t="s">
        <v>83</v>
      </c>
      <c r="D110" s="14">
        <v>16665</v>
      </c>
      <c r="E110" s="14">
        <v>2025</v>
      </c>
      <c r="F110" s="14" t="s">
        <v>275</v>
      </c>
      <c r="G110" s="14">
        <v>1</v>
      </c>
      <c r="H110" s="14">
        <v>3</v>
      </c>
      <c r="I110" s="14" t="s">
        <v>295</v>
      </c>
      <c r="J110" s="96">
        <v>0</v>
      </c>
      <c r="K110" s="97">
        <v>0</v>
      </c>
      <c r="L110" s="88" t="s">
        <v>298</v>
      </c>
      <c r="M110" s="88" t="s">
        <v>319</v>
      </c>
      <c r="N110" s="96">
        <v>0</v>
      </c>
      <c r="O110" s="97">
        <v>0</v>
      </c>
      <c r="P110" s="88" t="s">
        <v>298</v>
      </c>
      <c r="Q110" s="99" t="s">
        <v>319</v>
      </c>
      <c r="R110" s="96">
        <v>0</v>
      </c>
      <c r="S110" s="97">
        <v>0</v>
      </c>
      <c r="T110" s="88" t="s">
        <v>298</v>
      </c>
      <c r="U110" s="88" t="s">
        <v>319</v>
      </c>
      <c r="V110" s="226"/>
      <c r="W110" s="226"/>
    </row>
    <row r="111" spans="1:23" s="66" customFormat="1" ht="22.8" x14ac:dyDescent="0.3">
      <c r="A111" s="57">
        <v>9914</v>
      </c>
      <c r="B111" s="57" t="s">
        <v>104</v>
      </c>
      <c r="C111" s="57" t="s">
        <v>83</v>
      </c>
      <c r="D111" s="57">
        <v>16665</v>
      </c>
      <c r="E111" s="57">
        <v>2025</v>
      </c>
      <c r="F111" s="57" t="s">
        <v>275</v>
      </c>
      <c r="G111" s="57">
        <v>1</v>
      </c>
      <c r="H111" s="57">
        <v>3</v>
      </c>
      <c r="I111" s="57" t="s">
        <v>295</v>
      </c>
      <c r="J111" s="100">
        <v>40428.25</v>
      </c>
      <c r="K111" s="101">
        <v>410.6</v>
      </c>
      <c r="L111" s="87" t="s">
        <v>298</v>
      </c>
      <c r="M111" s="87" t="s">
        <v>319</v>
      </c>
      <c r="N111" s="100">
        <v>685467.11</v>
      </c>
      <c r="O111" s="101">
        <v>6421.7059069999996</v>
      </c>
      <c r="P111" s="87" t="s">
        <v>298</v>
      </c>
      <c r="Q111" s="99" t="s">
        <v>319</v>
      </c>
      <c r="R111" s="100">
        <v>3825730.02</v>
      </c>
      <c r="S111" s="101">
        <v>18492.144749999999</v>
      </c>
      <c r="T111" s="87" t="s">
        <v>298</v>
      </c>
      <c r="U111" s="87" t="s">
        <v>319</v>
      </c>
      <c r="V111" s="227"/>
      <c r="W111" s="227"/>
    </row>
    <row r="112" spans="1:23" s="66" customFormat="1" ht="22.8" x14ac:dyDescent="0.3">
      <c r="A112" s="14">
        <v>11408</v>
      </c>
      <c r="B112" s="14" t="s">
        <v>110</v>
      </c>
      <c r="C112" s="14" t="s">
        <v>83</v>
      </c>
      <c r="D112" s="14">
        <v>16665</v>
      </c>
      <c r="E112" s="14">
        <v>2025</v>
      </c>
      <c r="F112" s="14" t="s">
        <v>275</v>
      </c>
      <c r="G112" s="14">
        <v>1</v>
      </c>
      <c r="H112" s="14">
        <v>3</v>
      </c>
      <c r="I112" s="14" t="s">
        <v>295</v>
      </c>
      <c r="J112" s="96">
        <v>0</v>
      </c>
      <c r="K112" s="97">
        <v>0</v>
      </c>
      <c r="L112" s="88" t="s">
        <v>298</v>
      </c>
      <c r="M112" s="88" t="s">
        <v>319</v>
      </c>
      <c r="N112" s="96">
        <v>0</v>
      </c>
      <c r="O112" s="97">
        <v>0</v>
      </c>
      <c r="P112" s="88" t="s">
        <v>298</v>
      </c>
      <c r="Q112" s="99" t="s">
        <v>319</v>
      </c>
      <c r="R112" s="96">
        <v>0</v>
      </c>
      <c r="S112" s="97">
        <v>0</v>
      </c>
      <c r="T112" s="88" t="s">
        <v>298</v>
      </c>
      <c r="U112" s="88" t="s">
        <v>319</v>
      </c>
      <c r="V112" s="226"/>
      <c r="W112" s="226"/>
    </row>
    <row r="113" spans="1:23" s="66" customFormat="1" ht="22.8" x14ac:dyDescent="0.3">
      <c r="A113" s="57">
        <v>12037</v>
      </c>
      <c r="B113" s="57" t="s">
        <v>105</v>
      </c>
      <c r="C113" s="57" t="s">
        <v>83</v>
      </c>
      <c r="D113" s="57">
        <v>16665</v>
      </c>
      <c r="E113" s="57">
        <v>2025</v>
      </c>
      <c r="F113" s="57" t="s">
        <v>275</v>
      </c>
      <c r="G113" s="57">
        <v>1</v>
      </c>
      <c r="H113" s="57">
        <v>3</v>
      </c>
      <c r="I113" s="57" t="s">
        <v>295</v>
      </c>
      <c r="J113" s="100">
        <v>0</v>
      </c>
      <c r="K113" s="101">
        <v>0</v>
      </c>
      <c r="L113" s="87" t="s">
        <v>298</v>
      </c>
      <c r="M113" s="87" t="s">
        <v>319</v>
      </c>
      <c r="N113" s="100">
        <v>0</v>
      </c>
      <c r="O113" s="101">
        <v>0</v>
      </c>
      <c r="P113" s="87" t="s">
        <v>298</v>
      </c>
      <c r="Q113" s="99" t="s">
        <v>319</v>
      </c>
      <c r="R113" s="100">
        <v>174789</v>
      </c>
      <c r="S113" s="101">
        <v>0</v>
      </c>
      <c r="T113" s="87" t="s">
        <v>298</v>
      </c>
      <c r="U113" s="87" t="s">
        <v>319</v>
      </c>
      <c r="V113" s="227"/>
      <c r="W113" s="227"/>
    </row>
    <row r="114" spans="1:23" s="66" customFormat="1" ht="22.8" x14ac:dyDescent="0.3">
      <c r="A114" s="14">
        <v>14421</v>
      </c>
      <c r="B114" s="14" t="s">
        <v>106</v>
      </c>
      <c r="C114" s="14" t="s">
        <v>83</v>
      </c>
      <c r="D114" s="14">
        <v>16665</v>
      </c>
      <c r="E114" s="14">
        <v>2025</v>
      </c>
      <c r="F114" s="14" t="s">
        <v>275</v>
      </c>
      <c r="G114" s="14">
        <v>1</v>
      </c>
      <c r="H114" s="14">
        <v>3</v>
      </c>
      <c r="I114" s="14" t="s">
        <v>295</v>
      </c>
      <c r="J114" s="96">
        <v>0</v>
      </c>
      <c r="K114" s="97">
        <v>0</v>
      </c>
      <c r="L114" s="88" t="s">
        <v>298</v>
      </c>
      <c r="M114" s="88" t="s">
        <v>319</v>
      </c>
      <c r="N114" s="96">
        <v>0</v>
      </c>
      <c r="O114" s="97">
        <v>0</v>
      </c>
      <c r="P114" s="88" t="s">
        <v>298</v>
      </c>
      <c r="Q114" s="99" t="s">
        <v>319</v>
      </c>
      <c r="R114" s="96">
        <v>1435656</v>
      </c>
      <c r="S114" s="97">
        <v>0</v>
      </c>
      <c r="T114" s="88" t="s">
        <v>298</v>
      </c>
      <c r="U114" s="88" t="s">
        <v>319</v>
      </c>
      <c r="V114" s="226"/>
      <c r="W114" s="226"/>
    </row>
    <row r="115" spans="1:23" s="66" customFormat="1" ht="22.8" x14ac:dyDescent="0.3">
      <c r="A115" s="57">
        <v>8702</v>
      </c>
      <c r="B115" s="57" t="s">
        <v>95</v>
      </c>
      <c r="C115" s="57" t="s">
        <v>77</v>
      </c>
      <c r="D115" s="57">
        <v>16665</v>
      </c>
      <c r="E115" s="57">
        <v>2025</v>
      </c>
      <c r="F115" s="57" t="s">
        <v>275</v>
      </c>
      <c r="G115" s="57">
        <v>1</v>
      </c>
      <c r="H115" s="57">
        <v>3</v>
      </c>
      <c r="I115" s="57" t="s">
        <v>295</v>
      </c>
      <c r="J115" s="100">
        <v>1394242.43</v>
      </c>
      <c r="K115" s="101">
        <v>14281.1</v>
      </c>
      <c r="L115" s="87" t="s">
        <v>298</v>
      </c>
      <c r="M115" s="87" t="s">
        <v>319</v>
      </c>
      <c r="N115" s="100">
        <v>1601203.86</v>
      </c>
      <c r="O115" s="101">
        <v>17373.47</v>
      </c>
      <c r="P115" s="87" t="s">
        <v>298</v>
      </c>
      <c r="Q115" s="99" t="s">
        <v>319</v>
      </c>
      <c r="R115" s="100">
        <v>0</v>
      </c>
      <c r="S115" s="101">
        <v>0</v>
      </c>
      <c r="T115" s="87" t="s">
        <v>298</v>
      </c>
      <c r="U115" s="87" t="s">
        <v>319</v>
      </c>
      <c r="V115" s="227"/>
      <c r="W115" s="227"/>
    </row>
    <row r="116" spans="1:23" s="66" customFormat="1" x14ac:dyDescent="0.3">
      <c r="A116" s="14">
        <v>22350</v>
      </c>
      <c r="B116" s="14" t="s">
        <v>174</v>
      </c>
      <c r="C116" s="14" t="s">
        <v>75</v>
      </c>
      <c r="D116" s="14">
        <v>22350</v>
      </c>
      <c r="E116" s="14">
        <v>2025</v>
      </c>
      <c r="F116" s="14"/>
      <c r="G116" s="14">
        <v>2</v>
      </c>
      <c r="H116" s="14">
        <v>6</v>
      </c>
      <c r="I116" s="84" t="s">
        <v>320</v>
      </c>
      <c r="J116" s="96">
        <v>0</v>
      </c>
      <c r="K116" s="97"/>
      <c r="L116" s="88"/>
      <c r="M116" s="88"/>
      <c r="N116" s="96">
        <v>0</v>
      </c>
      <c r="O116" s="97">
        <v>0</v>
      </c>
      <c r="P116" s="88"/>
      <c r="Q116" s="99"/>
      <c r="R116" s="96">
        <v>0</v>
      </c>
      <c r="S116" s="97">
        <v>0</v>
      </c>
      <c r="T116" s="88"/>
      <c r="U116" s="88"/>
    </row>
    <row r="117" spans="1:23" s="66" customFormat="1" x14ac:dyDescent="0.3">
      <c r="A117" s="57">
        <v>99</v>
      </c>
      <c r="B117" s="57" t="s">
        <v>173</v>
      </c>
      <c r="C117" s="57" t="s">
        <v>77</v>
      </c>
      <c r="D117" s="57">
        <v>22350</v>
      </c>
      <c r="E117" s="57">
        <v>2025</v>
      </c>
      <c r="F117" s="57"/>
      <c r="G117" s="57">
        <v>3</v>
      </c>
      <c r="H117" s="57">
        <v>9</v>
      </c>
      <c r="I117" s="85" t="s">
        <v>320</v>
      </c>
      <c r="J117" s="100">
        <v>0</v>
      </c>
      <c r="K117" s="101"/>
      <c r="L117" s="87"/>
      <c r="M117" s="87"/>
      <c r="N117" s="100">
        <v>2131000</v>
      </c>
      <c r="O117" s="101">
        <v>0</v>
      </c>
      <c r="P117" s="87" t="s">
        <v>298</v>
      </c>
      <c r="Q117" s="99"/>
      <c r="R117" s="100">
        <v>0</v>
      </c>
      <c r="S117" s="101">
        <v>0</v>
      </c>
      <c r="T117" s="87"/>
      <c r="U117" s="87"/>
    </row>
    <row r="118" spans="1:23" s="66" customFormat="1" x14ac:dyDescent="0.3">
      <c r="A118" s="14">
        <v>99</v>
      </c>
      <c r="B118" s="14" t="s">
        <v>173</v>
      </c>
      <c r="C118" s="14" t="s">
        <v>77</v>
      </c>
      <c r="D118" s="14">
        <v>22350</v>
      </c>
      <c r="E118" s="14">
        <v>2025</v>
      </c>
      <c r="F118" s="14"/>
      <c r="G118" s="14">
        <v>1</v>
      </c>
      <c r="H118" s="14">
        <v>3</v>
      </c>
      <c r="I118" s="84" t="s">
        <v>320</v>
      </c>
      <c r="J118" s="96">
        <v>0</v>
      </c>
      <c r="K118" s="97"/>
      <c r="L118" s="88"/>
      <c r="M118" s="88"/>
      <c r="N118" s="96">
        <v>736005</v>
      </c>
      <c r="O118" s="97">
        <v>0</v>
      </c>
      <c r="P118" s="88" t="s">
        <v>298</v>
      </c>
      <c r="Q118" s="99"/>
      <c r="R118" s="96">
        <v>0</v>
      </c>
      <c r="S118" s="97">
        <v>0</v>
      </c>
      <c r="T118" s="88"/>
      <c r="U118" s="88"/>
    </row>
    <row r="119" spans="1:23" s="66" customFormat="1" x14ac:dyDescent="0.3">
      <c r="A119" s="57">
        <v>114</v>
      </c>
      <c r="B119" s="57" t="s">
        <v>177</v>
      </c>
      <c r="C119" s="57" t="s">
        <v>77</v>
      </c>
      <c r="D119" s="57">
        <v>22350</v>
      </c>
      <c r="E119" s="57">
        <v>2025</v>
      </c>
      <c r="F119" s="57"/>
      <c r="G119" s="57">
        <v>3</v>
      </c>
      <c r="H119" s="57">
        <v>9</v>
      </c>
      <c r="I119" s="85" t="s">
        <v>320</v>
      </c>
      <c r="J119" s="100">
        <v>0</v>
      </c>
      <c r="K119" s="101"/>
      <c r="L119" s="87"/>
      <c r="M119" s="87"/>
      <c r="N119" s="100">
        <v>1549000</v>
      </c>
      <c r="O119" s="101">
        <v>0</v>
      </c>
      <c r="P119" s="87" t="s">
        <v>298</v>
      </c>
      <c r="Q119" s="99"/>
      <c r="R119" s="100">
        <v>0</v>
      </c>
      <c r="S119" s="101">
        <v>0</v>
      </c>
      <c r="T119" s="87"/>
      <c r="U119" s="87"/>
    </row>
    <row r="120" spans="1:23" s="66" customFormat="1" x14ac:dyDescent="0.3">
      <c r="A120" s="14">
        <v>114</v>
      </c>
      <c r="B120" s="14" t="s">
        <v>177</v>
      </c>
      <c r="C120" s="14" t="s">
        <v>77</v>
      </c>
      <c r="D120" s="14">
        <v>22350</v>
      </c>
      <c r="E120" s="14">
        <v>2025</v>
      </c>
      <c r="F120" s="14"/>
      <c r="G120" s="14">
        <v>5</v>
      </c>
      <c r="H120" s="14">
        <v>12</v>
      </c>
      <c r="I120" s="84" t="s">
        <v>320</v>
      </c>
      <c r="J120" s="96">
        <v>0</v>
      </c>
      <c r="K120" s="97"/>
      <c r="L120" s="88"/>
      <c r="M120" s="88"/>
      <c r="N120" s="96">
        <v>1836684</v>
      </c>
      <c r="O120" s="97">
        <v>0</v>
      </c>
      <c r="P120" s="88" t="s">
        <v>298</v>
      </c>
      <c r="Q120" s="99"/>
      <c r="R120" s="96">
        <v>0</v>
      </c>
      <c r="S120" s="97">
        <v>0</v>
      </c>
      <c r="T120" s="88"/>
      <c r="U120" s="88"/>
    </row>
    <row r="121" spans="1:23" s="66" customFormat="1" x14ac:dyDescent="0.3">
      <c r="A121" s="57">
        <v>22350</v>
      </c>
      <c r="B121" s="57" t="s">
        <v>174</v>
      </c>
      <c r="C121" s="57" t="s">
        <v>75</v>
      </c>
      <c r="D121" s="57">
        <v>22350</v>
      </c>
      <c r="E121" s="57">
        <v>2025</v>
      </c>
      <c r="F121" s="57"/>
      <c r="G121" s="57">
        <v>1</v>
      </c>
      <c r="H121" s="57">
        <v>3</v>
      </c>
      <c r="I121" s="85" t="s">
        <v>320</v>
      </c>
      <c r="J121" s="100">
        <v>0</v>
      </c>
      <c r="K121" s="101"/>
      <c r="L121" s="87"/>
      <c r="M121" s="87"/>
      <c r="N121" s="100">
        <v>0</v>
      </c>
      <c r="O121" s="101">
        <v>0</v>
      </c>
      <c r="P121" s="87"/>
      <c r="Q121" s="99"/>
      <c r="R121" s="100">
        <v>0</v>
      </c>
      <c r="S121" s="101">
        <v>0</v>
      </c>
      <c r="T121" s="87"/>
      <c r="U121" s="87"/>
    </row>
    <row r="122" spans="1:23" s="66" customFormat="1" x14ac:dyDescent="0.3">
      <c r="A122" s="14">
        <v>22350</v>
      </c>
      <c r="B122" s="14" t="s">
        <v>174</v>
      </c>
      <c r="C122" s="14" t="s">
        <v>75</v>
      </c>
      <c r="D122" s="14">
        <v>22350</v>
      </c>
      <c r="E122" s="14">
        <v>2025</v>
      </c>
      <c r="F122" s="14"/>
      <c r="G122" s="14">
        <v>5</v>
      </c>
      <c r="H122" s="14">
        <v>12</v>
      </c>
      <c r="I122" s="84" t="s">
        <v>320</v>
      </c>
      <c r="J122" s="96">
        <v>0</v>
      </c>
      <c r="K122" s="97"/>
      <c r="L122" s="88"/>
      <c r="M122" s="88"/>
      <c r="N122" s="96">
        <v>0</v>
      </c>
      <c r="O122" s="97">
        <v>0</v>
      </c>
      <c r="P122" s="88"/>
      <c r="Q122" s="99"/>
      <c r="R122" s="96">
        <v>0</v>
      </c>
      <c r="S122" s="97">
        <v>0</v>
      </c>
      <c r="T122" s="88"/>
      <c r="U122" s="88"/>
    </row>
    <row r="123" spans="1:23" s="66" customFormat="1" x14ac:dyDescent="0.3">
      <c r="A123" s="57">
        <v>99</v>
      </c>
      <c r="B123" s="57" t="s">
        <v>173</v>
      </c>
      <c r="C123" s="57" t="s">
        <v>77</v>
      </c>
      <c r="D123" s="57">
        <v>22350</v>
      </c>
      <c r="E123" s="57">
        <v>2025</v>
      </c>
      <c r="F123" s="57"/>
      <c r="G123" s="57">
        <v>2</v>
      </c>
      <c r="H123" s="57">
        <v>6</v>
      </c>
      <c r="I123" s="85" t="s">
        <v>320</v>
      </c>
      <c r="J123" s="100">
        <v>0</v>
      </c>
      <c r="K123" s="101"/>
      <c r="L123" s="87"/>
      <c r="M123" s="87"/>
      <c r="N123" s="100">
        <v>1411000</v>
      </c>
      <c r="O123" s="101">
        <v>0</v>
      </c>
      <c r="P123" s="87" t="s">
        <v>298</v>
      </c>
      <c r="Q123" s="99"/>
      <c r="R123" s="100">
        <v>0</v>
      </c>
      <c r="S123" s="101">
        <v>0</v>
      </c>
      <c r="T123" s="87"/>
      <c r="U123" s="87"/>
    </row>
    <row r="124" spans="1:23" s="66" customFormat="1" x14ac:dyDescent="0.3">
      <c r="A124" s="14">
        <v>22350</v>
      </c>
      <c r="B124" s="14" t="s">
        <v>174</v>
      </c>
      <c r="C124" s="14" t="s">
        <v>75</v>
      </c>
      <c r="D124" s="14">
        <v>22350</v>
      </c>
      <c r="E124" s="14">
        <v>2025</v>
      </c>
      <c r="F124" s="14"/>
      <c r="G124" s="14">
        <v>3</v>
      </c>
      <c r="H124" s="14">
        <v>9</v>
      </c>
      <c r="I124" s="84" t="s">
        <v>320</v>
      </c>
      <c r="J124" s="96">
        <v>0</v>
      </c>
      <c r="K124" s="97"/>
      <c r="L124" s="88"/>
      <c r="M124" s="88"/>
      <c r="N124" s="96">
        <v>0</v>
      </c>
      <c r="O124" s="97">
        <v>0</v>
      </c>
      <c r="P124" s="88"/>
      <c r="Q124" s="99"/>
      <c r="R124" s="96">
        <v>0</v>
      </c>
      <c r="S124" s="97">
        <v>0</v>
      </c>
      <c r="T124" s="88"/>
      <c r="U124" s="88"/>
    </row>
    <row r="125" spans="1:23" s="66" customFormat="1" x14ac:dyDescent="0.3">
      <c r="A125" s="57">
        <v>22406</v>
      </c>
      <c r="B125" s="57" t="s">
        <v>701</v>
      </c>
      <c r="C125" s="57" t="s">
        <v>83</v>
      </c>
      <c r="D125" s="57">
        <v>22350</v>
      </c>
      <c r="E125" s="57">
        <v>2025</v>
      </c>
      <c r="F125" s="57"/>
      <c r="G125" s="57">
        <v>2</v>
      </c>
      <c r="H125" s="57">
        <v>6</v>
      </c>
      <c r="I125" s="85" t="s">
        <v>320</v>
      </c>
      <c r="J125" s="100">
        <v>0</v>
      </c>
      <c r="K125" s="101"/>
      <c r="L125" s="87"/>
      <c r="M125" s="87"/>
      <c r="N125" s="100">
        <v>708000</v>
      </c>
      <c r="O125" s="101">
        <v>0</v>
      </c>
      <c r="P125" s="87" t="s">
        <v>298</v>
      </c>
      <c r="Q125" s="99"/>
      <c r="R125" s="100">
        <v>0</v>
      </c>
      <c r="S125" s="101">
        <v>0</v>
      </c>
      <c r="T125" s="87"/>
      <c r="U125" s="87"/>
    </row>
    <row r="126" spans="1:23" s="66" customFormat="1" x14ac:dyDescent="0.3">
      <c r="A126" s="14">
        <v>99</v>
      </c>
      <c r="B126" s="14" t="s">
        <v>173</v>
      </c>
      <c r="C126" s="14" t="s">
        <v>77</v>
      </c>
      <c r="D126" s="14">
        <v>22350</v>
      </c>
      <c r="E126" s="14">
        <v>2025</v>
      </c>
      <c r="F126" s="14"/>
      <c r="G126" s="14">
        <v>5</v>
      </c>
      <c r="H126" s="14">
        <v>12</v>
      </c>
      <c r="I126" s="84" t="s">
        <v>320</v>
      </c>
      <c r="J126" s="96">
        <v>0</v>
      </c>
      <c r="K126" s="97"/>
      <c r="L126" s="88"/>
      <c r="M126" s="88"/>
      <c r="N126" s="96">
        <v>3190278</v>
      </c>
      <c r="O126" s="97">
        <v>0</v>
      </c>
      <c r="P126" s="88" t="s">
        <v>298</v>
      </c>
      <c r="Q126" s="99"/>
      <c r="R126" s="96">
        <v>0</v>
      </c>
      <c r="S126" s="97">
        <v>0</v>
      </c>
      <c r="T126" s="88"/>
      <c r="U126" s="88"/>
    </row>
    <row r="127" spans="1:23" s="66" customFormat="1" x14ac:dyDescent="0.3">
      <c r="A127" s="57">
        <v>114</v>
      </c>
      <c r="B127" s="57" t="s">
        <v>177</v>
      </c>
      <c r="C127" s="57" t="s">
        <v>77</v>
      </c>
      <c r="D127" s="57">
        <v>22350</v>
      </c>
      <c r="E127" s="57">
        <v>2025</v>
      </c>
      <c r="F127" s="57"/>
      <c r="G127" s="57">
        <v>1</v>
      </c>
      <c r="H127" s="57">
        <v>3</v>
      </c>
      <c r="I127" s="85" t="s">
        <v>320</v>
      </c>
      <c r="J127" s="100">
        <v>0</v>
      </c>
      <c r="K127" s="101"/>
      <c r="L127" s="87"/>
      <c r="M127" s="87"/>
      <c r="N127" s="100">
        <v>319257</v>
      </c>
      <c r="O127" s="101">
        <v>0</v>
      </c>
      <c r="P127" s="87" t="s">
        <v>298</v>
      </c>
      <c r="Q127" s="99"/>
      <c r="R127" s="100">
        <v>0</v>
      </c>
      <c r="S127" s="101">
        <v>0</v>
      </c>
      <c r="T127" s="87"/>
      <c r="U127" s="87"/>
    </row>
    <row r="128" spans="1:23" s="66" customFormat="1" x14ac:dyDescent="0.3">
      <c r="A128" s="14">
        <v>114</v>
      </c>
      <c r="B128" s="14" t="s">
        <v>177</v>
      </c>
      <c r="C128" s="14" t="s">
        <v>77</v>
      </c>
      <c r="D128" s="14">
        <v>22350</v>
      </c>
      <c r="E128" s="14">
        <v>2025</v>
      </c>
      <c r="F128" s="14"/>
      <c r="G128" s="14">
        <v>2</v>
      </c>
      <c r="H128" s="14">
        <v>6</v>
      </c>
      <c r="I128" s="84" t="s">
        <v>320</v>
      </c>
      <c r="J128" s="96">
        <v>0</v>
      </c>
      <c r="K128" s="97"/>
      <c r="L128" s="88"/>
      <c r="M128" s="88"/>
      <c r="N128" s="96">
        <v>1228000</v>
      </c>
      <c r="O128" s="97">
        <v>0</v>
      </c>
      <c r="P128" s="88" t="s">
        <v>298</v>
      </c>
      <c r="Q128" s="99"/>
      <c r="R128" s="96">
        <v>0</v>
      </c>
      <c r="S128" s="97">
        <v>0</v>
      </c>
      <c r="T128" s="88"/>
      <c r="U128" s="88"/>
    </row>
    <row r="129" spans="1:80" s="66" customFormat="1" ht="14.4" x14ac:dyDescent="0.3">
      <c r="A129" s="57"/>
      <c r="B129" s="57"/>
      <c r="C129" s="57"/>
      <c r="D129" s="57"/>
      <c r="E129" s="57"/>
      <c r="F129" s="57"/>
      <c r="G129" s="57"/>
      <c r="H129" s="57"/>
      <c r="I129" s="57"/>
      <c r="J129" s="100"/>
      <c r="K129" s="101"/>
      <c r="L129" s="87"/>
      <c r="M129" s="102"/>
      <c r="N129" s="100"/>
      <c r="O129" s="101"/>
      <c r="P129" s="87"/>
      <c r="Q129" s="99"/>
      <c r="R129" s="100"/>
      <c r="S129" s="101"/>
      <c r="T129" s="87"/>
      <c r="U129" s="87"/>
      <c r="V129" s="13"/>
      <c r="W129" s="13"/>
      <c r="X129" s="13"/>
      <c r="Y129" s="13"/>
      <c r="Z129" s="13"/>
      <c r="AA129" s="13"/>
      <c r="AB129" s="13"/>
      <c r="AC129" s="13"/>
      <c r="AD129" s="13"/>
      <c r="AE129" s="13"/>
      <c r="AF129" s="13"/>
      <c r="AG129" s="13"/>
      <c r="AH129" s="13"/>
      <c r="AI129" s="13"/>
      <c r="AJ129" s="13"/>
      <c r="AK129" s="13"/>
      <c r="AL129" s="13"/>
      <c r="AM129" s="13"/>
      <c r="AN129" s="13"/>
      <c r="AO129" s="13"/>
      <c r="AP129" s="13"/>
      <c r="AQ129" s="13"/>
      <c r="AR129" s="13"/>
      <c r="AS129" s="13"/>
      <c r="AT129" s="13"/>
      <c r="AU129" s="13"/>
      <c r="AV129" s="13"/>
      <c r="AW129" s="13"/>
      <c r="AX129" s="13"/>
      <c r="AY129" s="13"/>
      <c r="AZ129" s="13"/>
      <c r="BA129" s="13"/>
      <c r="BB129" s="13"/>
      <c r="BC129" s="13"/>
      <c r="BD129" s="13"/>
      <c r="BE129" s="13"/>
      <c r="BF129" s="13"/>
      <c r="BG129" s="13"/>
      <c r="BH129" s="13"/>
      <c r="BI129" s="13"/>
      <c r="BJ129" s="13"/>
      <c r="BK129" s="13"/>
      <c r="BL129" s="13"/>
      <c r="BM129" s="13"/>
      <c r="BN129" s="13"/>
      <c r="BO129" s="13"/>
      <c r="BP129" s="13"/>
      <c r="BQ129" s="13"/>
      <c r="BR129" s="13"/>
      <c r="BS129" s="13"/>
      <c r="BT129" s="13"/>
      <c r="BU129" s="13"/>
      <c r="BV129" s="13"/>
      <c r="BW129" s="13"/>
      <c r="BX129" s="13"/>
      <c r="BY129" s="13"/>
      <c r="BZ129" s="13"/>
      <c r="CA129" s="13"/>
      <c r="CB129" s="13"/>
    </row>
    <row r="130" spans="1:80" s="66" customFormat="1" ht="14.4" x14ac:dyDescent="0.3">
      <c r="A130" s="14"/>
      <c r="B130" s="14"/>
      <c r="C130" s="14"/>
      <c r="D130" s="14"/>
      <c r="E130" s="14"/>
      <c r="F130" s="14"/>
      <c r="G130" s="14"/>
      <c r="H130" s="14"/>
      <c r="I130" s="14"/>
      <c r="J130" s="96"/>
      <c r="K130" s="97"/>
      <c r="L130" s="88"/>
      <c r="M130" s="98"/>
      <c r="N130" s="96"/>
      <c r="O130" s="97"/>
      <c r="P130" s="88"/>
      <c r="Q130" s="99"/>
      <c r="R130" s="96"/>
      <c r="S130" s="97"/>
      <c r="T130" s="88"/>
      <c r="U130" s="88"/>
      <c r="V130" s="13"/>
      <c r="W130" s="13"/>
      <c r="X130" s="13"/>
      <c r="Y130" s="13"/>
      <c r="Z130" s="13"/>
      <c r="AA130" s="13"/>
      <c r="AB130" s="13"/>
      <c r="AC130" s="13"/>
      <c r="AD130" s="13"/>
      <c r="AE130" s="13"/>
      <c r="AF130" s="13"/>
      <c r="AG130" s="13"/>
      <c r="AH130" s="13"/>
      <c r="AI130" s="13"/>
      <c r="AJ130" s="13"/>
      <c r="AK130" s="13"/>
      <c r="AL130" s="13"/>
      <c r="AM130" s="13"/>
      <c r="AN130" s="13"/>
      <c r="AO130" s="13"/>
      <c r="AP130" s="13"/>
      <c r="AQ130" s="13"/>
      <c r="AR130" s="13"/>
      <c r="AS130" s="13"/>
      <c r="AT130" s="13"/>
      <c r="AU130" s="13"/>
      <c r="AV130" s="13"/>
      <c r="AW130" s="13"/>
      <c r="AX130" s="13"/>
      <c r="AY130" s="13"/>
      <c r="AZ130" s="13"/>
      <c r="BA130" s="13"/>
      <c r="BB130" s="13"/>
      <c r="BC130" s="13"/>
      <c r="BD130" s="13"/>
      <c r="BE130" s="13"/>
      <c r="BF130" s="13"/>
      <c r="BG130" s="13"/>
      <c r="BH130" s="13"/>
      <c r="BI130" s="13"/>
      <c r="BJ130" s="13"/>
      <c r="BK130" s="13"/>
      <c r="BL130" s="13"/>
      <c r="BM130" s="13"/>
      <c r="BN130" s="13"/>
      <c r="BO130" s="13"/>
      <c r="BP130" s="13"/>
      <c r="BQ130" s="13"/>
      <c r="BR130" s="13"/>
      <c r="BS130" s="13"/>
      <c r="BT130" s="13"/>
      <c r="BU130" s="13"/>
      <c r="BV130" s="13"/>
      <c r="BW130" s="13"/>
      <c r="BX130" s="13"/>
      <c r="BY130" s="13"/>
      <c r="BZ130" s="13"/>
      <c r="CA130" s="13"/>
      <c r="CB130" s="13"/>
    </row>
    <row r="131" spans="1:80" s="66" customFormat="1" ht="14.4" x14ac:dyDescent="0.3">
      <c r="A131" s="57"/>
      <c r="B131" s="57"/>
      <c r="C131" s="57"/>
      <c r="D131" s="57"/>
      <c r="E131" s="57"/>
      <c r="F131" s="57"/>
      <c r="G131" s="57"/>
      <c r="H131" s="57"/>
      <c r="I131" s="57"/>
      <c r="J131" s="100"/>
      <c r="K131" s="101"/>
      <c r="L131" s="87"/>
      <c r="M131" s="102"/>
      <c r="N131" s="100"/>
      <c r="O131" s="101"/>
      <c r="P131" s="87"/>
      <c r="Q131" s="99"/>
      <c r="R131" s="100"/>
      <c r="S131" s="101"/>
      <c r="T131" s="87"/>
      <c r="U131" s="87"/>
      <c r="V131" s="13"/>
      <c r="W131" s="13"/>
      <c r="X131" s="13"/>
      <c r="Y131" s="13"/>
      <c r="Z131" s="13"/>
      <c r="AA131" s="13"/>
      <c r="AB131" s="13"/>
      <c r="AC131" s="13"/>
      <c r="AD131" s="13"/>
      <c r="AE131" s="13"/>
      <c r="AF131" s="13"/>
      <c r="AG131" s="13"/>
      <c r="AH131" s="13"/>
      <c r="AI131" s="13"/>
      <c r="AJ131" s="13"/>
      <c r="AK131" s="13"/>
      <c r="AL131" s="13"/>
      <c r="AM131" s="13"/>
      <c r="AN131" s="13"/>
      <c r="AO131" s="13"/>
      <c r="AP131" s="13"/>
      <c r="AQ131" s="13"/>
      <c r="AR131" s="13"/>
      <c r="AS131" s="13"/>
      <c r="AT131" s="13"/>
      <c r="AU131" s="13"/>
      <c r="AV131" s="13"/>
      <c r="AW131" s="13"/>
      <c r="AX131" s="13"/>
      <c r="AY131" s="13"/>
      <c r="AZ131" s="13"/>
      <c r="BA131" s="13"/>
      <c r="BB131" s="13"/>
      <c r="BC131" s="13"/>
      <c r="BD131" s="13"/>
      <c r="BE131" s="13"/>
      <c r="BF131" s="13"/>
      <c r="BG131" s="13"/>
      <c r="BH131" s="13"/>
      <c r="BI131" s="13"/>
      <c r="BJ131" s="13"/>
      <c r="BK131" s="13"/>
      <c r="BL131" s="13"/>
      <c r="BM131" s="13"/>
      <c r="BN131" s="13"/>
      <c r="BO131" s="13"/>
      <c r="BP131" s="13"/>
      <c r="BQ131" s="13"/>
      <c r="BR131" s="13"/>
      <c r="BS131" s="13"/>
      <c r="BT131" s="13"/>
      <c r="BU131" s="13"/>
      <c r="BV131" s="13"/>
      <c r="BW131" s="13"/>
      <c r="BX131" s="13"/>
      <c r="BY131" s="13"/>
      <c r="BZ131" s="13"/>
      <c r="CA131" s="13"/>
      <c r="CB131" s="13"/>
    </row>
    <row r="132" spans="1:80" s="66" customFormat="1" ht="14.4" x14ac:dyDescent="0.3">
      <c r="A132" s="14"/>
      <c r="B132" s="14"/>
      <c r="C132" s="14"/>
      <c r="D132" s="14"/>
      <c r="E132" s="14"/>
      <c r="F132" s="14"/>
      <c r="G132" s="14"/>
      <c r="H132" s="14"/>
      <c r="I132" s="14"/>
      <c r="J132" s="96"/>
      <c r="K132" s="97"/>
      <c r="L132" s="88"/>
      <c r="M132" s="98"/>
      <c r="N132" s="96"/>
      <c r="O132" s="97"/>
      <c r="P132" s="88"/>
      <c r="Q132" s="99"/>
      <c r="R132" s="96"/>
      <c r="S132" s="97"/>
      <c r="T132" s="88"/>
      <c r="U132" s="88"/>
      <c r="V132" s="13"/>
      <c r="W132" s="13"/>
      <c r="X132" s="13"/>
      <c r="Y132" s="13"/>
      <c r="Z132" s="13"/>
      <c r="AA132" s="13"/>
      <c r="AB132" s="13"/>
      <c r="AC132" s="13"/>
      <c r="AD132" s="13"/>
      <c r="AE132" s="13"/>
      <c r="AF132" s="13"/>
      <c r="AG132" s="13"/>
      <c r="AH132" s="13"/>
      <c r="AI132" s="13"/>
      <c r="AJ132" s="13"/>
      <c r="AK132" s="13"/>
      <c r="AL132" s="13"/>
      <c r="AM132" s="13"/>
      <c r="AN132" s="13"/>
      <c r="AO132" s="13"/>
      <c r="AP132" s="13"/>
      <c r="AQ132" s="13"/>
      <c r="AR132" s="13"/>
      <c r="AS132" s="13"/>
      <c r="AT132" s="13"/>
      <c r="AU132" s="13"/>
      <c r="AV132" s="13"/>
      <c r="AW132" s="13"/>
      <c r="AX132" s="13"/>
      <c r="AY132" s="13"/>
      <c r="AZ132" s="13"/>
      <c r="BA132" s="13"/>
      <c r="BB132" s="13"/>
      <c r="BC132" s="13"/>
      <c r="BD132" s="13"/>
      <c r="BE132" s="13"/>
      <c r="BF132" s="13"/>
      <c r="BG132" s="13"/>
      <c r="BH132" s="13"/>
      <c r="BI132" s="13"/>
      <c r="BJ132" s="13"/>
      <c r="BK132" s="13"/>
      <c r="BL132" s="13"/>
      <c r="BM132" s="13"/>
      <c r="BN132" s="13"/>
      <c r="BO132" s="13"/>
      <c r="BP132" s="13"/>
      <c r="BQ132" s="13"/>
      <c r="BR132" s="13"/>
      <c r="BS132" s="13"/>
      <c r="BT132" s="13"/>
      <c r="BU132" s="13"/>
      <c r="BV132" s="13"/>
      <c r="BW132" s="13"/>
      <c r="BX132" s="13"/>
      <c r="BY132" s="13"/>
      <c r="BZ132" s="13"/>
      <c r="CA132" s="13"/>
      <c r="CB132" s="13"/>
    </row>
    <row r="133" spans="1:80" s="66" customFormat="1" ht="14.4" x14ac:dyDescent="0.3">
      <c r="A133" s="57"/>
      <c r="B133" s="57"/>
      <c r="C133" s="57"/>
      <c r="D133" s="57"/>
      <c r="E133" s="57"/>
      <c r="F133" s="57"/>
      <c r="G133" s="57"/>
      <c r="H133" s="57"/>
      <c r="I133" s="57"/>
      <c r="J133" s="100"/>
      <c r="K133" s="101"/>
      <c r="L133" s="87"/>
      <c r="M133" s="102"/>
      <c r="N133" s="100"/>
      <c r="O133" s="101"/>
      <c r="P133" s="87"/>
      <c r="Q133" s="99"/>
      <c r="R133" s="100"/>
      <c r="S133" s="101"/>
      <c r="T133" s="87"/>
      <c r="U133" s="87"/>
      <c r="V133" s="13"/>
      <c r="W133" s="13"/>
      <c r="X133" s="13"/>
      <c r="Y133" s="13"/>
      <c r="Z133" s="13"/>
      <c r="AA133" s="13"/>
      <c r="AB133" s="13"/>
      <c r="AC133" s="13"/>
      <c r="AD133" s="13"/>
      <c r="AE133" s="13"/>
      <c r="AF133" s="13"/>
      <c r="AG133" s="13"/>
      <c r="AH133" s="13"/>
      <c r="AI133" s="13"/>
      <c r="AJ133" s="13"/>
      <c r="AK133" s="13"/>
      <c r="AL133" s="13"/>
      <c r="AM133" s="13"/>
      <c r="AN133" s="13"/>
      <c r="AO133" s="13"/>
      <c r="AP133" s="13"/>
      <c r="AQ133" s="13"/>
      <c r="AR133" s="13"/>
      <c r="AS133" s="13"/>
      <c r="AT133" s="13"/>
      <c r="AU133" s="13"/>
      <c r="AV133" s="13"/>
      <c r="AW133" s="13"/>
      <c r="AX133" s="13"/>
      <c r="AY133" s="13"/>
      <c r="AZ133" s="13"/>
      <c r="BA133" s="13"/>
      <c r="BB133" s="13"/>
      <c r="BC133" s="13"/>
      <c r="BD133" s="13"/>
      <c r="BE133" s="13"/>
      <c r="BF133" s="13"/>
      <c r="BG133" s="13"/>
      <c r="BH133" s="13"/>
      <c r="BI133" s="13"/>
      <c r="BJ133" s="13"/>
      <c r="BK133" s="13"/>
      <c r="BL133" s="13"/>
      <c r="BM133" s="13"/>
      <c r="BN133" s="13"/>
      <c r="BO133" s="13"/>
      <c r="BP133" s="13"/>
      <c r="BQ133" s="13"/>
      <c r="BR133" s="13"/>
      <c r="BS133" s="13"/>
      <c r="BT133" s="13"/>
      <c r="BU133" s="13"/>
      <c r="BV133" s="13"/>
      <c r="BW133" s="13"/>
      <c r="BX133" s="13"/>
      <c r="BY133" s="13"/>
      <c r="BZ133" s="13"/>
      <c r="CA133" s="13"/>
      <c r="CB133" s="13"/>
    </row>
    <row r="134" spans="1:80" s="60" customFormat="1" ht="14.4" x14ac:dyDescent="0.3">
      <c r="A134" s="14"/>
      <c r="B134" s="14"/>
      <c r="C134" s="14"/>
      <c r="D134" s="14"/>
      <c r="E134" s="14"/>
      <c r="F134" s="14"/>
      <c r="G134" s="14"/>
      <c r="H134" s="14"/>
      <c r="I134" s="14"/>
      <c r="J134" s="96"/>
      <c r="K134" s="96"/>
      <c r="L134" s="103"/>
      <c r="M134" s="96"/>
      <c r="N134" s="96"/>
      <c r="O134" s="96"/>
      <c r="P134" s="104"/>
      <c r="Q134" s="96"/>
      <c r="R134" s="96"/>
      <c r="S134" s="96"/>
      <c r="T134" s="96"/>
      <c r="U134" s="96"/>
      <c r="V134" s="96"/>
      <c r="W134" s="104"/>
      <c r="X134" s="96"/>
      <c r="Y134" s="104"/>
      <c r="Z134" s="104"/>
      <c r="AA134" s="96"/>
      <c r="AB134" s="96"/>
      <c r="AC134" s="96"/>
      <c r="AD134" s="96"/>
      <c r="AE134" s="104"/>
      <c r="AF134" s="96"/>
      <c r="AG134" s="96"/>
      <c r="AH134" s="96"/>
      <c r="AI134" s="104"/>
      <c r="AJ134" s="104"/>
      <c r="AK134" s="96"/>
      <c r="AL134" s="96"/>
      <c r="AM134" s="96"/>
      <c r="AN134" s="104"/>
      <c r="AO134" s="104"/>
      <c r="AP134" s="96"/>
      <c r="AQ134" s="96"/>
      <c r="AR134" s="96"/>
      <c r="AS134" s="96"/>
      <c r="AT134" s="96"/>
      <c r="AU134" s="96"/>
      <c r="AV134" s="104"/>
      <c r="AW134" s="96"/>
      <c r="AX134" s="96"/>
      <c r="AY134" s="96"/>
      <c r="AZ134" s="96"/>
      <c r="BA134" s="96"/>
      <c r="BB134" s="104"/>
      <c r="BC134" s="104"/>
      <c r="BD134" s="96"/>
      <c r="BE134" s="96"/>
      <c r="BF134" s="96"/>
      <c r="BG134" s="96"/>
      <c r="BH134" s="96"/>
      <c r="BI134" s="96"/>
      <c r="BJ134" s="96"/>
      <c r="BK134" s="104"/>
      <c r="BL134" s="104"/>
      <c r="BM134" s="96"/>
      <c r="BN134" s="96"/>
      <c r="BO134" s="96"/>
      <c r="BP134" s="96"/>
      <c r="BQ134" s="96"/>
      <c r="BR134" s="104"/>
      <c r="BS134" s="109"/>
      <c r="BT134" s="109"/>
      <c r="BU134" s="109"/>
      <c r="BV134" s="106"/>
      <c r="BW134" s="107"/>
      <c r="BX134" s="107"/>
      <c r="BY134" s="108"/>
      <c r="BZ134" s="109"/>
      <c r="CA134" s="109"/>
      <c r="CB134" s="110"/>
    </row>
    <row r="135" spans="1:80" s="60" customFormat="1" ht="14.4" x14ac:dyDescent="0.3">
      <c r="A135" s="57"/>
      <c r="B135" s="57"/>
      <c r="C135" s="57"/>
      <c r="D135" s="57"/>
      <c r="E135" s="57"/>
      <c r="F135" s="57"/>
      <c r="G135" s="57"/>
      <c r="H135" s="57"/>
      <c r="I135" s="57"/>
      <c r="J135" s="100"/>
      <c r="K135" s="100"/>
      <c r="L135" s="112"/>
      <c r="M135" s="100"/>
      <c r="N135" s="100"/>
      <c r="O135" s="100"/>
      <c r="P135" s="104"/>
      <c r="Q135" s="100"/>
      <c r="R135" s="100"/>
      <c r="S135" s="100"/>
      <c r="T135" s="100"/>
      <c r="U135" s="100"/>
      <c r="V135" s="100"/>
      <c r="W135" s="104"/>
      <c r="X135" s="100"/>
      <c r="Y135" s="104"/>
      <c r="Z135" s="104"/>
      <c r="AA135" s="100"/>
      <c r="AB135" s="100"/>
      <c r="AC135" s="100"/>
      <c r="AD135" s="100"/>
      <c r="AE135" s="104"/>
      <c r="AF135" s="100"/>
      <c r="AG135" s="100"/>
      <c r="AH135" s="100"/>
      <c r="AI135" s="104"/>
      <c r="AJ135" s="104"/>
      <c r="AK135" s="100"/>
      <c r="AL135" s="100"/>
      <c r="AM135" s="100"/>
      <c r="AN135" s="104"/>
      <c r="AO135" s="104"/>
      <c r="AP135" s="100"/>
      <c r="AQ135" s="100"/>
      <c r="AR135" s="100"/>
      <c r="AS135" s="100"/>
      <c r="AT135" s="100"/>
      <c r="AU135" s="100"/>
      <c r="AV135" s="104"/>
      <c r="AW135" s="100"/>
      <c r="AX135" s="100"/>
      <c r="AY135" s="100"/>
      <c r="AZ135" s="100"/>
      <c r="BA135" s="100"/>
      <c r="BB135" s="104"/>
      <c r="BC135" s="104"/>
      <c r="BD135" s="100"/>
      <c r="BE135" s="100"/>
      <c r="BF135" s="100"/>
      <c r="BG135" s="100"/>
      <c r="BH135" s="100"/>
      <c r="BI135" s="100"/>
      <c r="BJ135" s="100"/>
      <c r="BK135" s="104"/>
      <c r="BL135" s="104"/>
      <c r="BM135" s="100"/>
      <c r="BN135" s="100"/>
      <c r="BO135" s="100"/>
      <c r="BP135" s="100"/>
      <c r="BQ135" s="100"/>
      <c r="BR135" s="104"/>
      <c r="BS135" s="109"/>
      <c r="BT135" s="109"/>
      <c r="BU135" s="109"/>
      <c r="BV135" s="106"/>
      <c r="BW135" s="107"/>
      <c r="BX135" s="107"/>
      <c r="BY135" s="108"/>
      <c r="BZ135" s="109"/>
      <c r="CA135" s="109"/>
      <c r="CB135" s="110"/>
    </row>
    <row r="136" spans="1:80" s="60" customFormat="1" ht="14.4" x14ac:dyDescent="0.3">
      <c r="A136" s="14"/>
      <c r="B136" s="14"/>
      <c r="C136" s="14"/>
      <c r="D136" s="14"/>
      <c r="E136" s="14"/>
      <c r="F136" s="14"/>
      <c r="G136" s="14"/>
      <c r="H136" s="14"/>
      <c r="I136" s="14"/>
      <c r="J136" s="96"/>
      <c r="K136" s="96"/>
      <c r="L136" s="103"/>
      <c r="M136" s="96"/>
      <c r="N136" s="96"/>
      <c r="O136" s="96"/>
      <c r="P136" s="104"/>
      <c r="Q136" s="96"/>
      <c r="R136" s="96"/>
      <c r="S136" s="96"/>
      <c r="T136" s="96"/>
      <c r="U136" s="96"/>
      <c r="V136" s="96"/>
      <c r="W136" s="104"/>
      <c r="X136" s="96"/>
      <c r="Y136" s="104"/>
      <c r="Z136" s="104"/>
      <c r="AA136" s="96"/>
      <c r="AB136" s="96"/>
      <c r="AC136" s="96"/>
      <c r="AD136" s="96"/>
      <c r="AE136" s="104"/>
      <c r="AF136" s="96"/>
      <c r="AG136" s="96"/>
      <c r="AH136" s="96"/>
      <c r="AI136" s="104"/>
      <c r="AJ136" s="104"/>
      <c r="AK136" s="96"/>
      <c r="AL136" s="96"/>
      <c r="AM136" s="96"/>
      <c r="AN136" s="104"/>
      <c r="AO136" s="104"/>
      <c r="AP136" s="96"/>
      <c r="AQ136" s="96"/>
      <c r="AR136" s="96"/>
      <c r="AS136" s="96"/>
      <c r="AT136" s="96"/>
      <c r="AU136" s="96"/>
      <c r="AV136" s="104"/>
      <c r="AW136" s="96"/>
      <c r="AX136" s="96"/>
      <c r="AY136" s="96"/>
      <c r="AZ136" s="96"/>
      <c r="BA136" s="96"/>
      <c r="BB136" s="104"/>
      <c r="BC136" s="104"/>
      <c r="BD136" s="96"/>
      <c r="BE136" s="96"/>
      <c r="BF136" s="96"/>
      <c r="BG136" s="96"/>
      <c r="BH136" s="96"/>
      <c r="BI136" s="96"/>
      <c r="BJ136" s="96"/>
      <c r="BK136" s="104"/>
      <c r="BL136" s="104"/>
      <c r="BM136" s="96"/>
      <c r="BN136" s="96"/>
      <c r="BO136" s="96"/>
      <c r="BP136" s="96"/>
      <c r="BQ136" s="96"/>
      <c r="BR136" s="104"/>
      <c r="BS136" s="109"/>
      <c r="BT136" s="109"/>
      <c r="BU136" s="109"/>
      <c r="BV136" s="106"/>
      <c r="BW136" s="107"/>
      <c r="BX136" s="107"/>
      <c r="BY136" s="108"/>
      <c r="BZ136" s="109"/>
      <c r="CA136" s="109"/>
      <c r="CB136" s="110"/>
    </row>
    <row r="137" spans="1:80" s="60" customFormat="1" ht="14.4" x14ac:dyDescent="0.3">
      <c r="A137" s="57"/>
      <c r="B137" s="57"/>
      <c r="C137" s="57"/>
      <c r="D137" s="57"/>
      <c r="E137" s="57"/>
      <c r="F137" s="57"/>
      <c r="G137" s="57"/>
      <c r="H137" s="57"/>
      <c r="I137" s="57"/>
      <c r="J137" s="100"/>
      <c r="K137" s="100"/>
      <c r="L137" s="112"/>
      <c r="M137" s="100"/>
      <c r="N137" s="100"/>
      <c r="O137" s="100"/>
      <c r="P137" s="104"/>
      <c r="Q137" s="100"/>
      <c r="R137" s="100"/>
      <c r="S137" s="100"/>
      <c r="T137" s="100"/>
      <c r="U137" s="100"/>
      <c r="V137" s="100"/>
      <c r="W137" s="104"/>
      <c r="X137" s="100"/>
      <c r="Y137" s="104"/>
      <c r="Z137" s="104"/>
      <c r="AA137" s="100"/>
      <c r="AB137" s="100"/>
      <c r="AC137" s="100"/>
      <c r="AD137" s="100"/>
      <c r="AE137" s="104"/>
      <c r="AF137" s="100"/>
      <c r="AG137" s="100"/>
      <c r="AH137" s="100"/>
      <c r="AI137" s="104"/>
      <c r="AJ137" s="104"/>
      <c r="AK137" s="100"/>
      <c r="AL137" s="100"/>
      <c r="AM137" s="100"/>
      <c r="AN137" s="104"/>
      <c r="AO137" s="104"/>
      <c r="AP137" s="100"/>
      <c r="AQ137" s="100"/>
      <c r="AR137" s="100"/>
      <c r="AS137" s="100"/>
      <c r="AT137" s="100"/>
      <c r="AU137" s="100"/>
      <c r="AV137" s="104"/>
      <c r="AW137" s="100"/>
      <c r="AX137" s="100"/>
      <c r="AY137" s="100"/>
      <c r="AZ137" s="100"/>
      <c r="BA137" s="100"/>
      <c r="BB137" s="104"/>
      <c r="BC137" s="104"/>
      <c r="BD137" s="100"/>
      <c r="BE137" s="100"/>
      <c r="BF137" s="100"/>
      <c r="BG137" s="100"/>
      <c r="BH137" s="100"/>
      <c r="BI137" s="100"/>
      <c r="BJ137" s="100"/>
      <c r="BK137" s="104"/>
      <c r="BL137" s="104"/>
      <c r="BM137" s="100"/>
      <c r="BN137" s="100"/>
      <c r="BO137" s="100"/>
      <c r="BP137" s="100"/>
      <c r="BQ137" s="100"/>
      <c r="BR137" s="104"/>
      <c r="BS137" s="109"/>
      <c r="BT137" s="109"/>
      <c r="BU137" s="109"/>
      <c r="BV137" s="106"/>
      <c r="BW137" s="107"/>
      <c r="BX137" s="107"/>
      <c r="BY137" s="108"/>
      <c r="BZ137" s="109"/>
      <c r="CA137" s="109"/>
      <c r="CB137" s="110"/>
    </row>
    <row r="138" spans="1:80" s="60" customFormat="1" ht="14.4" x14ac:dyDescent="0.3">
      <c r="A138" s="14"/>
      <c r="B138" s="14"/>
      <c r="C138" s="14"/>
      <c r="D138" s="14"/>
      <c r="E138" s="14"/>
      <c r="F138" s="14"/>
      <c r="G138" s="14"/>
      <c r="H138" s="14"/>
      <c r="I138" s="14"/>
      <c r="J138" s="96"/>
      <c r="K138" s="96"/>
      <c r="L138" s="103"/>
      <c r="M138" s="96"/>
      <c r="N138" s="96"/>
      <c r="O138" s="96"/>
      <c r="P138" s="104"/>
      <c r="Q138" s="96"/>
      <c r="R138" s="96"/>
      <c r="S138" s="96"/>
      <c r="T138" s="96"/>
      <c r="U138" s="96"/>
      <c r="V138" s="96"/>
      <c r="W138" s="104"/>
      <c r="X138" s="96"/>
      <c r="Y138" s="104"/>
      <c r="Z138" s="104"/>
      <c r="AA138" s="96"/>
      <c r="AB138" s="96"/>
      <c r="AC138" s="96"/>
      <c r="AD138" s="96"/>
      <c r="AE138" s="104"/>
      <c r="AF138" s="96"/>
      <c r="AG138" s="96"/>
      <c r="AH138" s="96"/>
      <c r="AI138" s="104"/>
      <c r="AJ138" s="104"/>
      <c r="AK138" s="96"/>
      <c r="AL138" s="96"/>
      <c r="AM138" s="96"/>
      <c r="AN138" s="104"/>
      <c r="AO138" s="104"/>
      <c r="AP138" s="96"/>
      <c r="AQ138" s="96"/>
      <c r="AR138" s="96"/>
      <c r="AS138" s="96"/>
      <c r="AT138" s="96"/>
      <c r="AU138" s="96"/>
      <c r="AV138" s="104"/>
      <c r="AW138" s="96"/>
      <c r="AX138" s="96"/>
      <c r="AY138" s="96"/>
      <c r="AZ138" s="96"/>
      <c r="BA138" s="96"/>
      <c r="BB138" s="104"/>
      <c r="BC138" s="104"/>
      <c r="BD138" s="96"/>
      <c r="BE138" s="96"/>
      <c r="BF138" s="96"/>
      <c r="BG138" s="96"/>
      <c r="BH138" s="96"/>
      <c r="BI138" s="96"/>
      <c r="BJ138" s="96"/>
      <c r="BK138" s="104"/>
      <c r="BL138" s="104"/>
      <c r="BM138" s="96"/>
      <c r="BN138" s="96"/>
      <c r="BO138" s="96"/>
      <c r="BP138" s="96"/>
      <c r="BQ138" s="96"/>
      <c r="BR138" s="104"/>
      <c r="BS138" s="109"/>
      <c r="BT138" s="109"/>
      <c r="BU138" s="109"/>
      <c r="BV138" s="106"/>
      <c r="BW138" s="107"/>
      <c r="BX138" s="107"/>
      <c r="BY138" s="108"/>
      <c r="BZ138" s="109"/>
      <c r="CA138" s="109"/>
      <c r="CB138" s="110"/>
    </row>
    <row r="139" spans="1:80" s="60" customFormat="1" ht="14.4" x14ac:dyDescent="0.3">
      <c r="A139" s="57"/>
      <c r="B139" s="57"/>
      <c r="C139" s="57"/>
      <c r="D139" s="57"/>
      <c r="E139" s="57"/>
      <c r="F139" s="57"/>
      <c r="G139" s="57"/>
      <c r="H139" s="57"/>
      <c r="I139" s="57"/>
      <c r="J139" s="100"/>
      <c r="K139" s="100"/>
      <c r="L139" s="112"/>
      <c r="M139" s="100"/>
      <c r="N139" s="100"/>
      <c r="O139" s="100"/>
      <c r="P139" s="104"/>
      <c r="Q139" s="100"/>
      <c r="R139" s="100"/>
      <c r="S139" s="100"/>
      <c r="T139" s="100"/>
      <c r="U139" s="100"/>
      <c r="V139" s="100"/>
      <c r="W139" s="104"/>
      <c r="X139" s="100"/>
      <c r="Y139" s="104"/>
      <c r="Z139" s="104"/>
      <c r="AA139" s="100"/>
      <c r="AB139" s="100"/>
      <c r="AC139" s="100"/>
      <c r="AD139" s="100"/>
      <c r="AE139" s="104"/>
      <c r="AF139" s="100"/>
      <c r="AG139" s="100"/>
      <c r="AH139" s="100"/>
      <c r="AI139" s="104"/>
      <c r="AJ139" s="104"/>
      <c r="AK139" s="100"/>
      <c r="AL139" s="100"/>
      <c r="AM139" s="100"/>
      <c r="AN139" s="104"/>
      <c r="AO139" s="104"/>
      <c r="AP139" s="100"/>
      <c r="AQ139" s="100"/>
      <c r="AR139" s="100"/>
      <c r="AS139" s="100"/>
      <c r="AT139" s="100"/>
      <c r="AU139" s="100"/>
      <c r="AV139" s="104"/>
      <c r="AW139" s="100"/>
      <c r="AX139" s="100"/>
      <c r="AY139" s="100"/>
      <c r="AZ139" s="100"/>
      <c r="BA139" s="100"/>
      <c r="BB139" s="104"/>
      <c r="BC139" s="104"/>
      <c r="BD139" s="100"/>
      <c r="BE139" s="100"/>
      <c r="BF139" s="100"/>
      <c r="BG139" s="100"/>
      <c r="BH139" s="100"/>
      <c r="BI139" s="100"/>
      <c r="BJ139" s="100"/>
      <c r="BK139" s="104"/>
      <c r="BL139" s="104"/>
      <c r="BM139" s="100"/>
      <c r="BN139" s="100"/>
      <c r="BO139" s="100"/>
      <c r="BP139" s="100"/>
      <c r="BQ139" s="100"/>
      <c r="BR139" s="104"/>
      <c r="BS139" s="109"/>
      <c r="BT139" s="109"/>
      <c r="BU139" s="109"/>
      <c r="BV139" s="106"/>
      <c r="BW139" s="107"/>
      <c r="BX139" s="107"/>
      <c r="BY139" s="108"/>
      <c r="BZ139" s="109"/>
      <c r="CA139" s="109"/>
      <c r="CB139" s="110"/>
    </row>
    <row r="140" spans="1:80" s="60" customFormat="1" ht="14.4" x14ac:dyDescent="0.3">
      <c r="A140" s="14"/>
      <c r="B140" s="14"/>
      <c r="C140" s="14"/>
      <c r="D140" s="14"/>
      <c r="E140" s="14"/>
      <c r="F140" s="14"/>
      <c r="G140" s="14"/>
      <c r="H140" s="14"/>
      <c r="I140" s="14"/>
      <c r="J140" s="96"/>
      <c r="K140" s="96"/>
      <c r="L140" s="103"/>
      <c r="M140" s="96"/>
      <c r="N140" s="96"/>
      <c r="O140" s="96"/>
      <c r="P140" s="104"/>
      <c r="Q140" s="96"/>
      <c r="R140" s="96"/>
      <c r="S140" s="96"/>
      <c r="T140" s="96"/>
      <c r="U140" s="96"/>
      <c r="V140" s="96"/>
      <c r="W140" s="104"/>
      <c r="X140" s="96"/>
      <c r="Y140" s="104"/>
      <c r="Z140" s="104"/>
      <c r="AA140" s="96"/>
      <c r="AB140" s="96"/>
      <c r="AC140" s="96"/>
      <c r="AD140" s="96"/>
      <c r="AE140" s="104"/>
      <c r="AF140" s="96"/>
      <c r="AG140" s="96"/>
      <c r="AH140" s="96"/>
      <c r="AI140" s="104"/>
      <c r="AJ140" s="104"/>
      <c r="AK140" s="96"/>
      <c r="AL140" s="96"/>
      <c r="AM140" s="96"/>
      <c r="AN140" s="104"/>
      <c r="AO140" s="104"/>
      <c r="AP140" s="96"/>
      <c r="AQ140" s="96"/>
      <c r="AR140" s="96"/>
      <c r="AS140" s="96"/>
      <c r="AT140" s="96"/>
      <c r="AU140" s="96"/>
      <c r="AV140" s="104"/>
      <c r="AW140" s="96"/>
      <c r="AX140" s="96"/>
      <c r="AY140" s="96"/>
      <c r="AZ140" s="96"/>
      <c r="BA140" s="96"/>
      <c r="BB140" s="104"/>
      <c r="BC140" s="104"/>
      <c r="BD140" s="96"/>
      <c r="BE140" s="96"/>
      <c r="BF140" s="96"/>
      <c r="BG140" s="96"/>
      <c r="BH140" s="96"/>
      <c r="BI140" s="96"/>
      <c r="BJ140" s="96"/>
      <c r="BK140" s="104"/>
      <c r="BL140" s="104"/>
      <c r="BM140" s="96"/>
      <c r="BN140" s="96"/>
      <c r="BO140" s="96"/>
      <c r="BP140" s="96"/>
      <c r="BQ140" s="96"/>
      <c r="BR140" s="104"/>
      <c r="BS140" s="109"/>
      <c r="BT140" s="109"/>
      <c r="BU140" s="109"/>
      <c r="BV140" s="106"/>
      <c r="BW140" s="107"/>
      <c r="BX140" s="107"/>
      <c r="BY140" s="108"/>
      <c r="BZ140" s="109"/>
      <c r="CA140" s="109"/>
      <c r="CB140" s="110"/>
    </row>
    <row r="141" spans="1:80" s="60" customFormat="1" ht="14.4" x14ac:dyDescent="0.3">
      <c r="A141" s="57"/>
      <c r="B141" s="57"/>
      <c r="C141" s="57"/>
      <c r="D141" s="57"/>
      <c r="E141" s="57"/>
      <c r="F141" s="57"/>
      <c r="G141" s="57"/>
      <c r="H141" s="57"/>
      <c r="I141" s="57"/>
      <c r="J141" s="100"/>
      <c r="K141" s="100"/>
      <c r="L141" s="112"/>
      <c r="M141" s="100"/>
      <c r="N141" s="100"/>
      <c r="O141" s="100"/>
      <c r="P141" s="104"/>
      <c r="Q141" s="100"/>
      <c r="R141" s="100"/>
      <c r="S141" s="100"/>
      <c r="T141" s="100"/>
      <c r="U141" s="100"/>
      <c r="V141" s="100"/>
      <c r="W141" s="104"/>
      <c r="X141" s="100"/>
      <c r="Y141" s="104"/>
      <c r="Z141" s="104"/>
      <c r="AA141" s="100"/>
      <c r="AB141" s="100"/>
      <c r="AC141" s="100"/>
      <c r="AD141" s="100"/>
      <c r="AE141" s="104"/>
      <c r="AF141" s="100"/>
      <c r="AG141" s="100"/>
      <c r="AH141" s="100"/>
      <c r="AI141" s="104"/>
      <c r="AJ141" s="104"/>
      <c r="AK141" s="100"/>
      <c r="AL141" s="100"/>
      <c r="AM141" s="100"/>
      <c r="AN141" s="104"/>
      <c r="AO141" s="104"/>
      <c r="AP141" s="100"/>
      <c r="AQ141" s="100"/>
      <c r="AR141" s="100"/>
      <c r="AS141" s="100"/>
      <c r="AT141" s="100"/>
      <c r="AU141" s="100"/>
      <c r="AV141" s="104"/>
      <c r="AW141" s="100"/>
      <c r="AX141" s="100"/>
      <c r="AY141" s="100"/>
      <c r="AZ141" s="100"/>
      <c r="BA141" s="100"/>
      <c r="BB141" s="104"/>
      <c r="BC141" s="104"/>
      <c r="BD141" s="100"/>
      <c r="BE141" s="100"/>
      <c r="BF141" s="100"/>
      <c r="BG141" s="100"/>
      <c r="BH141" s="100"/>
      <c r="BI141" s="100"/>
      <c r="BJ141" s="100"/>
      <c r="BK141" s="104"/>
      <c r="BL141" s="104"/>
      <c r="BM141" s="100"/>
      <c r="BN141" s="100"/>
      <c r="BO141" s="100"/>
      <c r="BP141" s="100"/>
      <c r="BQ141" s="100"/>
      <c r="BR141" s="104"/>
      <c r="BS141" s="109"/>
      <c r="BT141" s="109"/>
      <c r="BU141" s="109"/>
      <c r="BV141" s="106"/>
      <c r="BW141" s="107"/>
      <c r="BX141" s="107"/>
      <c r="BY141" s="108"/>
      <c r="BZ141" s="109"/>
      <c r="CA141" s="109"/>
      <c r="CB141" s="110"/>
    </row>
    <row r="142" spans="1:80" s="60" customFormat="1" ht="14.4" x14ac:dyDescent="0.3">
      <c r="A142" s="14"/>
      <c r="B142" s="14"/>
      <c r="C142" s="14"/>
      <c r="D142" s="14"/>
      <c r="E142" s="14"/>
      <c r="F142" s="14"/>
      <c r="G142" s="14"/>
      <c r="H142" s="14"/>
      <c r="I142" s="14"/>
      <c r="J142" s="96"/>
      <c r="K142" s="96"/>
      <c r="L142" s="103"/>
      <c r="M142" s="96"/>
      <c r="N142" s="96"/>
      <c r="O142" s="96"/>
      <c r="P142" s="104"/>
      <c r="Q142" s="96"/>
      <c r="R142" s="96"/>
      <c r="S142" s="96"/>
      <c r="T142" s="96"/>
      <c r="U142" s="96"/>
      <c r="V142" s="96"/>
      <c r="W142" s="104"/>
      <c r="X142" s="96"/>
      <c r="Y142" s="104"/>
      <c r="Z142" s="104"/>
      <c r="AA142" s="96"/>
      <c r="AB142" s="96"/>
      <c r="AC142" s="96"/>
      <c r="AD142" s="96"/>
      <c r="AE142" s="104"/>
      <c r="AF142" s="96"/>
      <c r="AG142" s="96"/>
      <c r="AH142" s="96"/>
      <c r="AI142" s="104"/>
      <c r="AJ142" s="104"/>
      <c r="AK142" s="96"/>
      <c r="AL142" s="96"/>
      <c r="AM142" s="96"/>
      <c r="AN142" s="104"/>
      <c r="AO142" s="104"/>
      <c r="AP142" s="96"/>
      <c r="AQ142" s="96"/>
      <c r="AR142" s="96"/>
      <c r="AS142" s="96"/>
      <c r="AT142" s="96"/>
      <c r="AU142" s="96"/>
      <c r="AV142" s="104"/>
      <c r="AW142" s="96"/>
      <c r="AX142" s="96"/>
      <c r="AY142" s="96"/>
      <c r="AZ142" s="96"/>
      <c r="BA142" s="96"/>
      <c r="BB142" s="104"/>
      <c r="BC142" s="104"/>
      <c r="BD142" s="96"/>
      <c r="BE142" s="96"/>
      <c r="BF142" s="96"/>
      <c r="BG142" s="96"/>
      <c r="BH142" s="96"/>
      <c r="BI142" s="96"/>
      <c r="BJ142" s="96"/>
      <c r="BK142" s="104"/>
      <c r="BL142" s="104"/>
      <c r="BM142" s="96"/>
      <c r="BN142" s="96"/>
      <c r="BO142" s="96"/>
      <c r="BP142" s="96"/>
      <c r="BQ142" s="96"/>
      <c r="BR142" s="104"/>
      <c r="BS142" s="109"/>
      <c r="BT142" s="109"/>
      <c r="BU142" s="109"/>
      <c r="BV142" s="106"/>
      <c r="BW142" s="107"/>
      <c r="BX142" s="107"/>
      <c r="BY142" s="108"/>
      <c r="BZ142" s="109"/>
      <c r="CA142" s="109"/>
      <c r="CB142" s="110"/>
    </row>
    <row r="143" spans="1:80" s="60" customFormat="1" ht="14.4" x14ac:dyDescent="0.3">
      <c r="A143" s="57"/>
      <c r="B143" s="57"/>
      <c r="C143" s="57"/>
      <c r="D143" s="57"/>
      <c r="E143" s="57"/>
      <c r="F143" s="57"/>
      <c r="G143" s="57"/>
      <c r="H143" s="57"/>
      <c r="I143" s="57"/>
      <c r="J143" s="100"/>
      <c r="K143" s="100"/>
      <c r="L143" s="112"/>
      <c r="M143" s="100"/>
      <c r="N143" s="100"/>
      <c r="O143" s="100"/>
      <c r="P143" s="104"/>
      <c r="Q143" s="100"/>
      <c r="R143" s="100"/>
      <c r="S143" s="100"/>
      <c r="T143" s="100"/>
      <c r="U143" s="100"/>
      <c r="V143" s="100"/>
      <c r="W143" s="104"/>
      <c r="X143" s="100"/>
      <c r="Y143" s="104"/>
      <c r="Z143" s="104"/>
      <c r="AA143" s="100"/>
      <c r="AB143" s="100"/>
      <c r="AC143" s="100"/>
      <c r="AD143" s="100"/>
      <c r="AE143" s="104"/>
      <c r="AF143" s="100"/>
      <c r="AG143" s="100"/>
      <c r="AH143" s="100"/>
      <c r="AI143" s="104"/>
      <c r="AJ143" s="104"/>
      <c r="AK143" s="100"/>
      <c r="AL143" s="100"/>
      <c r="AM143" s="100"/>
      <c r="AN143" s="104"/>
      <c r="AO143" s="104"/>
      <c r="AP143" s="100"/>
      <c r="AQ143" s="100"/>
      <c r="AR143" s="100"/>
      <c r="AS143" s="100"/>
      <c r="AT143" s="100"/>
      <c r="AU143" s="100"/>
      <c r="AV143" s="104"/>
      <c r="AW143" s="100"/>
      <c r="AX143" s="100"/>
      <c r="AY143" s="100"/>
      <c r="AZ143" s="100"/>
      <c r="BA143" s="100"/>
      <c r="BB143" s="104"/>
      <c r="BC143" s="104"/>
      <c r="BD143" s="100"/>
      <c r="BE143" s="100"/>
      <c r="BF143" s="100"/>
      <c r="BG143" s="100"/>
      <c r="BH143" s="100"/>
      <c r="BI143" s="100"/>
      <c r="BJ143" s="100"/>
      <c r="BK143" s="104"/>
      <c r="BL143" s="104"/>
      <c r="BM143" s="100"/>
      <c r="BN143" s="100"/>
      <c r="BO143" s="100"/>
      <c r="BP143" s="100"/>
      <c r="BQ143" s="100"/>
      <c r="BR143" s="104"/>
      <c r="BS143" s="109"/>
      <c r="BT143" s="109"/>
      <c r="BU143" s="109"/>
      <c r="BV143" s="106"/>
      <c r="BW143" s="107"/>
      <c r="BX143" s="107"/>
      <c r="BY143" s="108"/>
      <c r="BZ143" s="109"/>
      <c r="CA143" s="109"/>
      <c r="CB143" s="110"/>
    </row>
    <row r="144" spans="1:80" s="60" customFormat="1" ht="14.4" x14ac:dyDescent="0.3">
      <c r="A144" s="14"/>
      <c r="B144" s="14"/>
      <c r="C144" s="14"/>
      <c r="D144" s="14"/>
      <c r="E144" s="14"/>
      <c r="F144" s="14"/>
      <c r="G144" s="14"/>
      <c r="H144" s="14"/>
      <c r="I144" s="14"/>
      <c r="J144" s="96"/>
      <c r="K144" s="96"/>
      <c r="L144" s="103"/>
      <c r="M144" s="96"/>
      <c r="N144" s="96"/>
      <c r="O144" s="96"/>
      <c r="P144" s="104"/>
      <c r="Q144" s="96"/>
      <c r="R144" s="96"/>
      <c r="S144" s="96"/>
      <c r="T144" s="96"/>
      <c r="U144" s="96"/>
      <c r="V144" s="96"/>
      <c r="W144" s="104"/>
      <c r="X144" s="96"/>
      <c r="Y144" s="104"/>
      <c r="Z144" s="104"/>
      <c r="AA144" s="96"/>
      <c r="AB144" s="96"/>
      <c r="AC144" s="96"/>
      <c r="AD144" s="96"/>
      <c r="AE144" s="104"/>
      <c r="AF144" s="96"/>
      <c r="AG144" s="96"/>
      <c r="AH144" s="96"/>
      <c r="AI144" s="104"/>
      <c r="AJ144" s="104"/>
      <c r="AK144" s="96"/>
      <c r="AL144" s="96"/>
      <c r="AM144" s="96"/>
      <c r="AN144" s="104"/>
      <c r="AO144" s="104"/>
      <c r="AP144" s="96"/>
      <c r="AQ144" s="96"/>
      <c r="AR144" s="96"/>
      <c r="AS144" s="96"/>
      <c r="AT144" s="96"/>
      <c r="AU144" s="96"/>
      <c r="AV144" s="104"/>
      <c r="AW144" s="96"/>
      <c r="AX144" s="96"/>
      <c r="AY144" s="96"/>
      <c r="AZ144" s="96"/>
      <c r="BA144" s="96"/>
      <c r="BB144" s="104"/>
      <c r="BC144" s="104"/>
      <c r="BD144" s="96"/>
      <c r="BE144" s="96"/>
      <c r="BF144" s="96"/>
      <c r="BG144" s="96"/>
      <c r="BH144" s="96"/>
      <c r="BI144" s="96"/>
      <c r="BJ144" s="96"/>
      <c r="BK144" s="104"/>
      <c r="BL144" s="104"/>
      <c r="BM144" s="96"/>
      <c r="BN144" s="96"/>
      <c r="BO144" s="96"/>
      <c r="BP144" s="96"/>
      <c r="BQ144" s="96"/>
      <c r="BR144" s="104"/>
      <c r="BS144" s="109"/>
      <c r="BT144" s="109"/>
      <c r="BU144" s="109"/>
      <c r="BV144" s="106"/>
      <c r="BW144" s="107"/>
      <c r="BX144" s="107"/>
      <c r="BY144" s="108"/>
      <c r="BZ144" s="109"/>
      <c r="CA144" s="109"/>
      <c r="CB144" s="110"/>
    </row>
    <row r="145" spans="1:80" s="60" customFormat="1" ht="14.4" x14ac:dyDescent="0.3">
      <c r="A145" s="57"/>
      <c r="B145" s="57"/>
      <c r="C145" s="57"/>
      <c r="D145" s="57"/>
      <c r="E145" s="57"/>
      <c r="F145" s="57"/>
      <c r="G145" s="57"/>
      <c r="H145" s="57"/>
      <c r="I145" s="57"/>
      <c r="J145" s="100"/>
      <c r="K145" s="100"/>
      <c r="L145" s="112"/>
      <c r="M145" s="100"/>
      <c r="N145" s="100"/>
      <c r="O145" s="100"/>
      <c r="P145" s="104"/>
      <c r="Q145" s="100"/>
      <c r="R145" s="100"/>
      <c r="S145" s="100"/>
      <c r="T145" s="100"/>
      <c r="U145" s="100"/>
      <c r="V145" s="100"/>
      <c r="W145" s="104"/>
      <c r="X145" s="100"/>
      <c r="Y145" s="104"/>
      <c r="Z145" s="104"/>
      <c r="AA145" s="100"/>
      <c r="AB145" s="100"/>
      <c r="AC145" s="100"/>
      <c r="AD145" s="100"/>
      <c r="AE145" s="104"/>
      <c r="AF145" s="100"/>
      <c r="AG145" s="100"/>
      <c r="AH145" s="100"/>
      <c r="AI145" s="104"/>
      <c r="AJ145" s="104"/>
      <c r="AK145" s="100"/>
      <c r="AL145" s="100"/>
      <c r="AM145" s="100"/>
      <c r="AN145" s="104"/>
      <c r="AO145" s="104"/>
      <c r="AP145" s="100"/>
      <c r="AQ145" s="100"/>
      <c r="AR145" s="100"/>
      <c r="AS145" s="100"/>
      <c r="AT145" s="100"/>
      <c r="AU145" s="100"/>
      <c r="AV145" s="104"/>
      <c r="AW145" s="100"/>
      <c r="AX145" s="100"/>
      <c r="AY145" s="100"/>
      <c r="AZ145" s="100"/>
      <c r="BA145" s="100"/>
      <c r="BB145" s="104"/>
      <c r="BC145" s="104"/>
      <c r="BD145" s="100"/>
      <c r="BE145" s="100"/>
      <c r="BF145" s="100"/>
      <c r="BG145" s="100"/>
      <c r="BH145" s="100"/>
      <c r="BI145" s="100"/>
      <c r="BJ145" s="100"/>
      <c r="BK145" s="104"/>
      <c r="BL145" s="104"/>
      <c r="BM145" s="100"/>
      <c r="BN145" s="100"/>
      <c r="BO145" s="100"/>
      <c r="BP145" s="100"/>
      <c r="BQ145" s="100"/>
      <c r="BR145" s="104"/>
      <c r="BS145" s="109"/>
      <c r="BT145" s="109"/>
      <c r="BU145" s="109"/>
      <c r="BV145" s="106"/>
      <c r="BW145" s="107"/>
      <c r="BX145" s="107"/>
      <c r="BY145" s="108"/>
      <c r="BZ145" s="109"/>
      <c r="CA145" s="109"/>
      <c r="CB145" s="110"/>
    </row>
    <row r="146" spans="1:80" s="60" customFormat="1" ht="14.4" x14ac:dyDescent="0.3">
      <c r="A146" s="14"/>
      <c r="B146" s="14"/>
      <c r="C146" s="14"/>
      <c r="D146" s="14"/>
      <c r="E146" s="14"/>
      <c r="F146" s="14"/>
      <c r="G146" s="14"/>
      <c r="H146" s="14"/>
      <c r="I146" s="14"/>
      <c r="J146" s="96"/>
      <c r="K146" s="96"/>
      <c r="L146" s="103"/>
      <c r="M146" s="96"/>
      <c r="N146" s="96"/>
      <c r="O146" s="96"/>
      <c r="P146" s="104"/>
      <c r="Q146" s="96"/>
      <c r="R146" s="96"/>
      <c r="S146" s="96"/>
      <c r="T146" s="96"/>
      <c r="U146" s="96"/>
      <c r="V146" s="96"/>
      <c r="W146" s="104"/>
      <c r="X146" s="96"/>
      <c r="Y146" s="104"/>
      <c r="Z146" s="104"/>
      <c r="AA146" s="96"/>
      <c r="AB146" s="96"/>
      <c r="AC146" s="96"/>
      <c r="AD146" s="96"/>
      <c r="AE146" s="104"/>
      <c r="AF146" s="96"/>
      <c r="AG146" s="96"/>
      <c r="AH146" s="96"/>
      <c r="AI146" s="104"/>
      <c r="AJ146" s="104"/>
      <c r="AK146" s="96"/>
      <c r="AL146" s="96"/>
      <c r="AM146" s="96"/>
      <c r="AN146" s="104"/>
      <c r="AO146" s="104"/>
      <c r="AP146" s="96"/>
      <c r="AQ146" s="96"/>
      <c r="AR146" s="96"/>
      <c r="AS146" s="96"/>
      <c r="AT146" s="96"/>
      <c r="AU146" s="96"/>
      <c r="AV146" s="104"/>
      <c r="AW146" s="96"/>
      <c r="AX146" s="96"/>
      <c r="AY146" s="96"/>
      <c r="AZ146" s="96"/>
      <c r="BA146" s="96"/>
      <c r="BB146" s="104"/>
      <c r="BC146" s="104"/>
      <c r="BD146" s="96"/>
      <c r="BE146" s="96"/>
      <c r="BF146" s="96"/>
      <c r="BG146" s="96"/>
      <c r="BH146" s="96"/>
      <c r="BI146" s="96"/>
      <c r="BJ146" s="96"/>
      <c r="BK146" s="104"/>
      <c r="BL146" s="104"/>
      <c r="BM146" s="96"/>
      <c r="BN146" s="96"/>
      <c r="BO146" s="96"/>
      <c r="BP146" s="96"/>
      <c r="BQ146" s="96"/>
      <c r="BR146" s="104"/>
      <c r="BS146" s="109"/>
      <c r="BT146" s="109"/>
      <c r="BU146" s="109"/>
      <c r="BV146" s="106"/>
      <c r="BW146" s="107"/>
      <c r="BX146" s="107"/>
      <c r="BY146" s="108"/>
      <c r="BZ146" s="109"/>
      <c r="CA146" s="109"/>
      <c r="CB146" s="110"/>
    </row>
    <row r="147" spans="1:80" s="60" customFormat="1" ht="14.4" x14ac:dyDescent="0.3">
      <c r="A147" s="57"/>
      <c r="B147" s="57"/>
      <c r="C147" s="57"/>
      <c r="D147" s="57"/>
      <c r="E147" s="57"/>
      <c r="F147" s="57"/>
      <c r="G147" s="57"/>
      <c r="H147" s="57"/>
      <c r="I147" s="57"/>
      <c r="J147" s="100"/>
      <c r="K147" s="100"/>
      <c r="L147" s="112"/>
      <c r="M147" s="100"/>
      <c r="N147" s="100"/>
      <c r="O147" s="100"/>
      <c r="P147" s="104"/>
      <c r="Q147" s="100"/>
      <c r="R147" s="100"/>
      <c r="S147" s="100"/>
      <c r="T147" s="100"/>
      <c r="U147" s="100"/>
      <c r="V147" s="100"/>
      <c r="W147" s="104"/>
      <c r="X147" s="100"/>
      <c r="Y147" s="104"/>
      <c r="Z147" s="104"/>
      <c r="AA147" s="100"/>
      <c r="AB147" s="100"/>
      <c r="AC147" s="100"/>
      <c r="AD147" s="100"/>
      <c r="AE147" s="104"/>
      <c r="AF147" s="100"/>
      <c r="AG147" s="100"/>
      <c r="AH147" s="100"/>
      <c r="AI147" s="104"/>
      <c r="AJ147" s="104"/>
      <c r="AK147" s="100"/>
      <c r="AL147" s="100"/>
      <c r="AM147" s="100"/>
      <c r="AN147" s="104"/>
      <c r="AO147" s="104"/>
      <c r="AP147" s="100"/>
      <c r="AQ147" s="100"/>
      <c r="AR147" s="100"/>
      <c r="AS147" s="100"/>
      <c r="AT147" s="100"/>
      <c r="AU147" s="100"/>
      <c r="AV147" s="104"/>
      <c r="AW147" s="100"/>
      <c r="AX147" s="100"/>
      <c r="AY147" s="100"/>
      <c r="AZ147" s="100"/>
      <c r="BA147" s="100"/>
      <c r="BB147" s="104"/>
      <c r="BC147" s="104"/>
      <c r="BD147" s="100"/>
      <c r="BE147" s="100"/>
      <c r="BF147" s="100"/>
      <c r="BG147" s="100"/>
      <c r="BH147" s="100"/>
      <c r="BI147" s="100"/>
      <c r="BJ147" s="100"/>
      <c r="BK147" s="104"/>
      <c r="BL147" s="104"/>
      <c r="BM147" s="100"/>
      <c r="BN147" s="100"/>
      <c r="BO147" s="100"/>
      <c r="BP147" s="100"/>
      <c r="BQ147" s="100"/>
      <c r="BR147" s="104"/>
      <c r="BS147" s="109"/>
      <c r="BT147" s="109"/>
      <c r="BU147" s="109"/>
      <c r="BV147" s="106"/>
      <c r="BW147" s="107"/>
      <c r="BX147" s="107"/>
      <c r="BY147" s="108"/>
      <c r="BZ147" s="109"/>
      <c r="CA147" s="109"/>
      <c r="CB147" s="110"/>
    </row>
    <row r="148" spans="1:80" s="60" customFormat="1" ht="14.4" x14ac:dyDescent="0.3">
      <c r="A148" s="14"/>
      <c r="B148" s="14"/>
      <c r="C148" s="14"/>
      <c r="D148" s="14"/>
      <c r="E148" s="14"/>
      <c r="F148" s="14"/>
      <c r="G148" s="14"/>
      <c r="H148" s="14"/>
      <c r="I148" s="14"/>
      <c r="J148" s="96"/>
      <c r="K148" s="96"/>
      <c r="L148" s="103"/>
      <c r="M148" s="96"/>
      <c r="N148" s="96"/>
      <c r="O148" s="96"/>
      <c r="P148" s="104"/>
      <c r="Q148" s="96"/>
      <c r="R148" s="96"/>
      <c r="S148" s="96"/>
      <c r="T148" s="96"/>
      <c r="U148" s="96"/>
      <c r="V148" s="96"/>
      <c r="W148" s="104"/>
      <c r="X148" s="96"/>
      <c r="Y148" s="104"/>
      <c r="Z148" s="104"/>
      <c r="AA148" s="96"/>
      <c r="AB148" s="96"/>
      <c r="AC148" s="96"/>
      <c r="AD148" s="96"/>
      <c r="AE148" s="104"/>
      <c r="AF148" s="96"/>
      <c r="AG148" s="96"/>
      <c r="AH148" s="96"/>
      <c r="AI148" s="104"/>
      <c r="AJ148" s="104"/>
      <c r="AK148" s="96"/>
      <c r="AL148" s="96"/>
      <c r="AM148" s="96"/>
      <c r="AN148" s="104"/>
      <c r="AO148" s="104"/>
      <c r="AP148" s="96"/>
      <c r="AQ148" s="96"/>
      <c r="AR148" s="96"/>
      <c r="AS148" s="96"/>
      <c r="AT148" s="96"/>
      <c r="AU148" s="96"/>
      <c r="AV148" s="104"/>
      <c r="AW148" s="96"/>
      <c r="AX148" s="96"/>
      <c r="AY148" s="96"/>
      <c r="AZ148" s="96"/>
      <c r="BA148" s="96"/>
      <c r="BB148" s="104"/>
      <c r="BC148" s="104"/>
      <c r="BD148" s="96"/>
      <c r="BE148" s="96"/>
      <c r="BF148" s="96"/>
      <c r="BG148" s="96"/>
      <c r="BH148" s="96"/>
      <c r="BI148" s="96"/>
      <c r="BJ148" s="96"/>
      <c r="BK148" s="104"/>
      <c r="BL148" s="104"/>
      <c r="BM148" s="96"/>
      <c r="BN148" s="96"/>
      <c r="BO148" s="96"/>
      <c r="BP148" s="96"/>
      <c r="BQ148" s="96"/>
      <c r="BR148" s="104"/>
      <c r="BS148" s="109"/>
      <c r="BT148" s="109"/>
      <c r="BU148" s="109"/>
      <c r="BV148" s="106"/>
      <c r="BW148" s="107"/>
      <c r="BX148" s="107"/>
      <c r="BY148" s="108"/>
      <c r="BZ148" s="109"/>
      <c r="CA148" s="109"/>
      <c r="CB148" s="110"/>
    </row>
    <row r="149" spans="1:80" s="60" customFormat="1" ht="14.4" x14ac:dyDescent="0.3">
      <c r="A149" s="57"/>
      <c r="B149" s="57"/>
      <c r="C149" s="57"/>
      <c r="D149" s="57"/>
      <c r="E149" s="57"/>
      <c r="F149" s="57"/>
      <c r="G149" s="57"/>
      <c r="H149" s="57"/>
      <c r="I149" s="57"/>
      <c r="J149" s="100"/>
      <c r="K149" s="100"/>
      <c r="L149" s="112"/>
      <c r="M149" s="100"/>
      <c r="N149" s="100"/>
      <c r="O149" s="100"/>
      <c r="P149" s="104"/>
      <c r="Q149" s="100"/>
      <c r="R149" s="100"/>
      <c r="S149" s="100"/>
      <c r="T149" s="100"/>
      <c r="U149" s="100"/>
      <c r="V149" s="100"/>
      <c r="W149" s="104"/>
      <c r="X149" s="100"/>
      <c r="Y149" s="104"/>
      <c r="Z149" s="104"/>
      <c r="AA149" s="100"/>
      <c r="AB149" s="100"/>
      <c r="AC149" s="100"/>
      <c r="AD149" s="100"/>
      <c r="AE149" s="104"/>
      <c r="AF149" s="100"/>
      <c r="AG149" s="100"/>
      <c r="AH149" s="100"/>
      <c r="AI149" s="104"/>
      <c r="AJ149" s="104"/>
      <c r="AK149" s="100"/>
      <c r="AL149" s="100"/>
      <c r="AM149" s="100"/>
      <c r="AN149" s="104"/>
      <c r="AO149" s="104"/>
      <c r="AP149" s="100"/>
      <c r="AQ149" s="100"/>
      <c r="AR149" s="100"/>
      <c r="AS149" s="100"/>
      <c r="AT149" s="100"/>
      <c r="AU149" s="100"/>
      <c r="AV149" s="104"/>
      <c r="AW149" s="100"/>
      <c r="AX149" s="100"/>
      <c r="AY149" s="100"/>
      <c r="AZ149" s="100"/>
      <c r="BA149" s="100"/>
      <c r="BB149" s="104"/>
      <c r="BC149" s="104"/>
      <c r="BD149" s="100"/>
      <c r="BE149" s="100"/>
      <c r="BF149" s="100"/>
      <c r="BG149" s="100"/>
      <c r="BH149" s="100"/>
      <c r="BI149" s="100"/>
      <c r="BJ149" s="100"/>
      <c r="BK149" s="104"/>
      <c r="BL149" s="104"/>
      <c r="BM149" s="100"/>
      <c r="BN149" s="100"/>
      <c r="BO149" s="100"/>
      <c r="BP149" s="100"/>
      <c r="BQ149" s="100"/>
      <c r="BR149" s="104"/>
      <c r="BS149" s="109"/>
      <c r="BT149" s="109"/>
      <c r="BU149" s="109"/>
      <c r="BV149" s="106"/>
      <c r="BW149" s="107"/>
      <c r="BX149" s="107"/>
      <c r="BY149" s="108"/>
      <c r="BZ149" s="109"/>
      <c r="CA149" s="109"/>
      <c r="CB149" s="110"/>
    </row>
    <row r="150" spans="1:80" s="60" customFormat="1" ht="14.4" x14ac:dyDescent="0.3">
      <c r="A150" s="14"/>
      <c r="B150" s="14"/>
      <c r="C150" s="14"/>
      <c r="D150" s="14"/>
      <c r="E150" s="14"/>
      <c r="F150" s="14"/>
      <c r="G150" s="14"/>
      <c r="H150" s="14"/>
      <c r="I150" s="14"/>
      <c r="J150" s="96"/>
      <c r="K150" s="96"/>
      <c r="L150" s="103"/>
      <c r="M150" s="96"/>
      <c r="N150" s="96"/>
      <c r="O150" s="96"/>
      <c r="P150" s="104"/>
      <c r="Q150" s="96"/>
      <c r="R150" s="96"/>
      <c r="S150" s="96"/>
      <c r="T150" s="96"/>
      <c r="U150" s="96"/>
      <c r="V150" s="96"/>
      <c r="W150" s="104"/>
      <c r="X150" s="96"/>
      <c r="Y150" s="104"/>
      <c r="Z150" s="104"/>
      <c r="AA150" s="96"/>
      <c r="AB150" s="96"/>
      <c r="AC150" s="96"/>
      <c r="AD150" s="96"/>
      <c r="AE150" s="104"/>
      <c r="AF150" s="96"/>
      <c r="AG150" s="96"/>
      <c r="AH150" s="96"/>
      <c r="AI150" s="104"/>
      <c r="AJ150" s="104"/>
      <c r="AK150" s="96"/>
      <c r="AL150" s="96"/>
      <c r="AM150" s="96"/>
      <c r="AN150" s="104"/>
      <c r="AO150" s="104"/>
      <c r="AP150" s="96"/>
      <c r="AQ150" s="96"/>
      <c r="AR150" s="96"/>
      <c r="AS150" s="96"/>
      <c r="AT150" s="96"/>
      <c r="AU150" s="96"/>
      <c r="AV150" s="104"/>
      <c r="AW150" s="96"/>
      <c r="AX150" s="96"/>
      <c r="AY150" s="96"/>
      <c r="AZ150" s="96"/>
      <c r="BA150" s="96"/>
      <c r="BB150" s="104"/>
      <c r="BC150" s="104"/>
      <c r="BD150" s="96"/>
      <c r="BE150" s="96"/>
      <c r="BF150" s="96"/>
      <c r="BG150" s="96"/>
      <c r="BH150" s="96"/>
      <c r="BI150" s="96"/>
      <c r="BJ150" s="96"/>
      <c r="BK150" s="104"/>
      <c r="BL150" s="104"/>
      <c r="BM150" s="96"/>
      <c r="BN150" s="96"/>
      <c r="BO150" s="96"/>
      <c r="BP150" s="96"/>
      <c r="BQ150" s="96"/>
      <c r="BR150" s="104"/>
      <c r="BS150" s="109"/>
      <c r="BT150" s="109"/>
      <c r="BU150" s="109"/>
      <c r="BV150" s="106"/>
      <c r="BW150" s="107"/>
      <c r="BX150" s="107"/>
      <c r="BY150" s="108"/>
      <c r="BZ150" s="109"/>
      <c r="CA150" s="109"/>
      <c r="CB150" s="110"/>
    </row>
    <row r="151" spans="1:80" s="60" customFormat="1" ht="14.4" x14ac:dyDescent="0.3">
      <c r="A151" s="57"/>
      <c r="B151" s="57"/>
      <c r="C151" s="57"/>
      <c r="D151" s="57"/>
      <c r="E151" s="57"/>
      <c r="F151" s="57"/>
      <c r="G151" s="57"/>
      <c r="H151" s="57"/>
      <c r="I151" s="57"/>
      <c r="J151" s="100"/>
      <c r="K151" s="100"/>
      <c r="L151" s="112"/>
      <c r="M151" s="100"/>
      <c r="N151" s="100"/>
      <c r="O151" s="100"/>
      <c r="P151" s="104"/>
      <c r="Q151" s="100"/>
      <c r="R151" s="100"/>
      <c r="S151" s="100"/>
      <c r="T151" s="100"/>
      <c r="U151" s="100"/>
      <c r="V151" s="100"/>
      <c r="W151" s="104"/>
      <c r="X151" s="100"/>
      <c r="Y151" s="104"/>
      <c r="Z151" s="104"/>
      <c r="AA151" s="100"/>
      <c r="AB151" s="100"/>
      <c r="AC151" s="100"/>
      <c r="AD151" s="100"/>
      <c r="AE151" s="104"/>
      <c r="AF151" s="100"/>
      <c r="AG151" s="100"/>
      <c r="AH151" s="100"/>
      <c r="AI151" s="104"/>
      <c r="AJ151" s="104"/>
      <c r="AK151" s="100"/>
      <c r="AL151" s="100"/>
      <c r="AM151" s="100"/>
      <c r="AN151" s="104"/>
      <c r="AO151" s="104"/>
      <c r="AP151" s="100"/>
      <c r="AQ151" s="100"/>
      <c r="AR151" s="100"/>
      <c r="AS151" s="100"/>
      <c r="AT151" s="100"/>
      <c r="AU151" s="100"/>
      <c r="AV151" s="104"/>
      <c r="AW151" s="100"/>
      <c r="AX151" s="100"/>
      <c r="AY151" s="100"/>
      <c r="AZ151" s="100"/>
      <c r="BA151" s="100"/>
      <c r="BB151" s="104"/>
      <c r="BC151" s="104"/>
      <c r="BD151" s="100"/>
      <c r="BE151" s="100"/>
      <c r="BF151" s="100"/>
      <c r="BG151" s="100"/>
      <c r="BH151" s="100"/>
      <c r="BI151" s="100"/>
      <c r="BJ151" s="100"/>
      <c r="BK151" s="104"/>
      <c r="BL151" s="104"/>
      <c r="BM151" s="100"/>
      <c r="BN151" s="100"/>
      <c r="BO151" s="100"/>
      <c r="BP151" s="100"/>
      <c r="BQ151" s="100"/>
      <c r="BR151" s="104"/>
      <c r="BS151" s="109"/>
      <c r="BT151" s="109"/>
      <c r="BU151" s="109"/>
      <c r="BV151" s="106"/>
      <c r="BW151" s="107"/>
      <c r="BX151" s="107"/>
      <c r="BY151" s="108"/>
      <c r="BZ151" s="109"/>
      <c r="CA151" s="109"/>
      <c r="CB151" s="110"/>
    </row>
    <row r="152" spans="1:80" s="60" customFormat="1" ht="14.4" x14ac:dyDescent="0.3">
      <c r="A152" s="14"/>
      <c r="B152" s="14"/>
      <c r="C152" s="14"/>
      <c r="D152" s="14"/>
      <c r="E152" s="14"/>
      <c r="F152" s="14"/>
      <c r="G152" s="14"/>
      <c r="H152" s="14"/>
      <c r="I152" s="14"/>
      <c r="J152" s="96"/>
      <c r="K152" s="96"/>
      <c r="L152" s="103"/>
      <c r="M152" s="96"/>
      <c r="N152" s="96"/>
      <c r="O152" s="96"/>
      <c r="P152" s="104"/>
      <c r="Q152" s="96"/>
      <c r="R152" s="96"/>
      <c r="S152" s="96"/>
      <c r="T152" s="96"/>
      <c r="U152" s="96"/>
      <c r="V152" s="96"/>
      <c r="W152" s="104"/>
      <c r="X152" s="96"/>
      <c r="Y152" s="104"/>
      <c r="Z152" s="104"/>
      <c r="AA152" s="96"/>
      <c r="AB152" s="96"/>
      <c r="AC152" s="96"/>
      <c r="AD152" s="96"/>
      <c r="AE152" s="104"/>
      <c r="AF152" s="96"/>
      <c r="AG152" s="96"/>
      <c r="AH152" s="96"/>
      <c r="AI152" s="104"/>
      <c r="AJ152" s="104"/>
      <c r="AK152" s="96"/>
      <c r="AL152" s="96"/>
      <c r="AM152" s="96"/>
      <c r="AN152" s="104"/>
      <c r="AO152" s="104"/>
      <c r="AP152" s="96"/>
      <c r="AQ152" s="96"/>
      <c r="AR152" s="96"/>
      <c r="AS152" s="96"/>
      <c r="AT152" s="96"/>
      <c r="AU152" s="96"/>
      <c r="AV152" s="104"/>
      <c r="AW152" s="96"/>
      <c r="AX152" s="96"/>
      <c r="AY152" s="96"/>
      <c r="AZ152" s="96"/>
      <c r="BA152" s="96"/>
      <c r="BB152" s="104"/>
      <c r="BC152" s="104"/>
      <c r="BD152" s="96"/>
      <c r="BE152" s="96"/>
      <c r="BF152" s="96"/>
      <c r="BG152" s="96"/>
      <c r="BH152" s="96"/>
      <c r="BI152" s="96"/>
      <c r="BJ152" s="96"/>
      <c r="BK152" s="104"/>
      <c r="BL152" s="104"/>
      <c r="BM152" s="96"/>
      <c r="BN152" s="96"/>
      <c r="BO152" s="96"/>
      <c r="BP152" s="96"/>
      <c r="BQ152" s="96"/>
      <c r="BR152" s="104"/>
      <c r="BS152" s="109"/>
      <c r="BT152" s="109"/>
      <c r="BU152" s="109"/>
      <c r="BV152" s="106"/>
      <c r="BW152" s="107"/>
      <c r="BX152" s="107"/>
      <c r="BY152" s="108"/>
      <c r="BZ152" s="109"/>
      <c r="CA152" s="109"/>
      <c r="CB152" s="110"/>
    </row>
    <row r="153" spans="1:80" s="60" customFormat="1" ht="14.4" x14ac:dyDescent="0.3">
      <c r="A153" s="57"/>
      <c r="B153" s="57"/>
      <c r="C153" s="57"/>
      <c r="D153" s="57"/>
      <c r="E153" s="57"/>
      <c r="F153" s="57"/>
      <c r="G153" s="57"/>
      <c r="H153" s="57"/>
      <c r="I153" s="57"/>
      <c r="J153" s="100"/>
      <c r="K153" s="100"/>
      <c r="L153" s="112"/>
      <c r="M153" s="100"/>
      <c r="N153" s="100"/>
      <c r="O153" s="100"/>
      <c r="P153" s="104"/>
      <c r="Q153" s="100"/>
      <c r="R153" s="100"/>
      <c r="S153" s="100"/>
      <c r="T153" s="100"/>
      <c r="U153" s="100"/>
      <c r="V153" s="100"/>
      <c r="W153" s="104"/>
      <c r="X153" s="100"/>
      <c r="Y153" s="104"/>
      <c r="Z153" s="104"/>
      <c r="AA153" s="100"/>
      <c r="AB153" s="100"/>
      <c r="AC153" s="100"/>
      <c r="AD153" s="100"/>
      <c r="AE153" s="104"/>
      <c r="AF153" s="100"/>
      <c r="AG153" s="100"/>
      <c r="AH153" s="100"/>
      <c r="AI153" s="104"/>
      <c r="AJ153" s="104"/>
      <c r="AK153" s="100"/>
      <c r="AL153" s="100"/>
      <c r="AM153" s="100"/>
      <c r="AN153" s="104"/>
      <c r="AO153" s="104"/>
      <c r="AP153" s="100"/>
      <c r="AQ153" s="100"/>
      <c r="AR153" s="100"/>
      <c r="AS153" s="100"/>
      <c r="AT153" s="100"/>
      <c r="AU153" s="100"/>
      <c r="AV153" s="104"/>
      <c r="AW153" s="100"/>
      <c r="AX153" s="100"/>
      <c r="AY153" s="100"/>
      <c r="AZ153" s="100"/>
      <c r="BA153" s="100"/>
      <c r="BB153" s="104"/>
      <c r="BC153" s="104"/>
      <c r="BD153" s="100"/>
      <c r="BE153" s="100"/>
      <c r="BF153" s="100"/>
      <c r="BG153" s="100"/>
      <c r="BH153" s="100"/>
      <c r="BI153" s="100"/>
      <c r="BJ153" s="100"/>
      <c r="BK153" s="104"/>
      <c r="BL153" s="104"/>
      <c r="BM153" s="100"/>
      <c r="BN153" s="100"/>
      <c r="BO153" s="100"/>
      <c r="BP153" s="100"/>
      <c r="BQ153" s="100"/>
      <c r="BR153" s="104"/>
      <c r="BS153" s="109"/>
      <c r="BT153" s="109"/>
      <c r="BU153" s="109"/>
      <c r="BV153" s="106"/>
      <c r="BW153" s="107"/>
      <c r="BX153" s="107"/>
      <c r="BY153" s="108"/>
      <c r="BZ153" s="109"/>
      <c r="CA153" s="109"/>
      <c r="CB153" s="110"/>
    </row>
    <row r="154" spans="1:80" s="60" customFormat="1" ht="14.4" x14ac:dyDescent="0.3">
      <c r="A154" s="14"/>
      <c r="B154" s="14"/>
      <c r="C154" s="14"/>
      <c r="D154" s="14"/>
      <c r="E154" s="14"/>
      <c r="F154" s="14"/>
      <c r="G154" s="14"/>
      <c r="H154" s="14"/>
      <c r="I154" s="14"/>
      <c r="J154" s="96"/>
      <c r="K154" s="96"/>
      <c r="L154" s="103"/>
      <c r="M154" s="96"/>
      <c r="N154" s="96"/>
      <c r="O154" s="96"/>
      <c r="P154" s="104"/>
      <c r="Q154" s="96"/>
      <c r="R154" s="96"/>
      <c r="S154" s="96"/>
      <c r="T154" s="96"/>
      <c r="U154" s="96"/>
      <c r="V154" s="96"/>
      <c r="W154" s="104"/>
      <c r="X154" s="96"/>
      <c r="Y154" s="104"/>
      <c r="Z154" s="104"/>
      <c r="AA154" s="96"/>
      <c r="AB154" s="96"/>
      <c r="AC154" s="96"/>
      <c r="AD154" s="96"/>
      <c r="AE154" s="104"/>
      <c r="AF154" s="96"/>
      <c r="AG154" s="96"/>
      <c r="AH154" s="96"/>
      <c r="AI154" s="104"/>
      <c r="AJ154" s="104"/>
      <c r="AK154" s="96"/>
      <c r="AL154" s="96"/>
      <c r="AM154" s="96"/>
      <c r="AN154" s="104"/>
      <c r="AO154" s="104"/>
      <c r="AP154" s="96"/>
      <c r="AQ154" s="96"/>
      <c r="AR154" s="96"/>
      <c r="AS154" s="96"/>
      <c r="AT154" s="96"/>
      <c r="AU154" s="96"/>
      <c r="AV154" s="104"/>
      <c r="AW154" s="96"/>
      <c r="AX154" s="96"/>
      <c r="AY154" s="96"/>
      <c r="AZ154" s="96"/>
      <c r="BA154" s="96"/>
      <c r="BB154" s="104"/>
      <c r="BC154" s="104"/>
      <c r="BD154" s="96"/>
      <c r="BE154" s="96"/>
      <c r="BF154" s="96"/>
      <c r="BG154" s="96"/>
      <c r="BH154" s="96"/>
      <c r="BI154" s="96"/>
      <c r="BJ154" s="96"/>
      <c r="BK154" s="104"/>
      <c r="BL154" s="104"/>
      <c r="BM154" s="96"/>
      <c r="BN154" s="96"/>
      <c r="BO154" s="96"/>
      <c r="BP154" s="96"/>
      <c r="BQ154" s="96"/>
      <c r="BR154" s="104"/>
      <c r="BS154" s="109"/>
      <c r="BT154" s="109"/>
      <c r="BU154" s="109"/>
      <c r="BV154" s="106"/>
      <c r="BW154" s="107"/>
      <c r="BX154" s="107"/>
      <c r="BY154" s="108"/>
      <c r="BZ154" s="109"/>
      <c r="CA154" s="109"/>
      <c r="CB154" s="110"/>
    </row>
    <row r="155" spans="1:80" s="60" customFormat="1" ht="14.4" x14ac:dyDescent="0.3">
      <c r="A155" s="57"/>
      <c r="B155" s="57"/>
      <c r="C155" s="57"/>
      <c r="D155" s="57"/>
      <c r="E155" s="57"/>
      <c r="F155" s="57"/>
      <c r="G155" s="57"/>
      <c r="H155" s="57"/>
      <c r="I155" s="57"/>
      <c r="J155" s="100"/>
      <c r="K155" s="100"/>
      <c r="L155" s="112"/>
      <c r="M155" s="100"/>
      <c r="N155" s="100"/>
      <c r="O155" s="100"/>
      <c r="P155" s="104"/>
      <c r="Q155" s="100"/>
      <c r="R155" s="100"/>
      <c r="S155" s="100"/>
      <c r="T155" s="100"/>
      <c r="U155" s="100"/>
      <c r="V155" s="100"/>
      <c r="W155" s="104"/>
      <c r="X155" s="100"/>
      <c r="Y155" s="104"/>
      <c r="Z155" s="104"/>
      <c r="AA155" s="100"/>
      <c r="AB155" s="100"/>
      <c r="AC155" s="100"/>
      <c r="AD155" s="100"/>
      <c r="AE155" s="104"/>
      <c r="AF155" s="100"/>
      <c r="AG155" s="100"/>
      <c r="AH155" s="100"/>
      <c r="AI155" s="104"/>
      <c r="AJ155" s="104"/>
      <c r="AK155" s="100"/>
      <c r="AL155" s="100"/>
      <c r="AM155" s="100"/>
      <c r="AN155" s="104"/>
      <c r="AO155" s="104"/>
      <c r="AP155" s="100"/>
      <c r="AQ155" s="100"/>
      <c r="AR155" s="100"/>
      <c r="AS155" s="100"/>
      <c r="AT155" s="100"/>
      <c r="AU155" s="100"/>
      <c r="AV155" s="104"/>
      <c r="AW155" s="100"/>
      <c r="AX155" s="100"/>
      <c r="AY155" s="100"/>
      <c r="AZ155" s="100"/>
      <c r="BA155" s="100"/>
      <c r="BB155" s="104"/>
      <c r="BC155" s="104"/>
      <c r="BD155" s="100"/>
      <c r="BE155" s="100"/>
      <c r="BF155" s="100"/>
      <c r="BG155" s="100"/>
      <c r="BH155" s="100"/>
      <c r="BI155" s="100"/>
      <c r="BJ155" s="100"/>
      <c r="BK155" s="104"/>
      <c r="BL155" s="104"/>
      <c r="BM155" s="100"/>
      <c r="BN155" s="100"/>
      <c r="BO155" s="100"/>
      <c r="BP155" s="100"/>
      <c r="BQ155" s="100"/>
      <c r="BR155" s="104"/>
      <c r="BS155" s="109"/>
      <c r="BT155" s="109"/>
      <c r="BU155" s="109"/>
      <c r="BV155" s="106"/>
      <c r="BW155" s="107"/>
      <c r="BX155" s="107"/>
      <c r="BY155" s="108"/>
      <c r="BZ155" s="109"/>
      <c r="CA155" s="109"/>
      <c r="CB155" s="110"/>
    </row>
    <row r="156" spans="1:80" s="60" customFormat="1" ht="14.4" x14ac:dyDescent="0.3">
      <c r="A156" s="14"/>
      <c r="B156" s="14"/>
      <c r="C156" s="14"/>
      <c r="D156" s="14"/>
      <c r="E156" s="14"/>
      <c r="F156" s="14"/>
      <c r="G156" s="14"/>
      <c r="H156" s="14"/>
      <c r="I156" s="14"/>
      <c r="J156" s="96"/>
      <c r="K156" s="96"/>
      <c r="L156" s="103"/>
      <c r="M156" s="96"/>
      <c r="N156" s="96"/>
      <c r="O156" s="96"/>
      <c r="P156" s="104"/>
      <c r="Q156" s="96"/>
      <c r="R156" s="96"/>
      <c r="S156" s="96"/>
      <c r="T156" s="96"/>
      <c r="U156" s="96"/>
      <c r="V156" s="96"/>
      <c r="W156" s="104"/>
      <c r="X156" s="96"/>
      <c r="Y156" s="104"/>
      <c r="Z156" s="104"/>
      <c r="AA156" s="96"/>
      <c r="AB156" s="96"/>
      <c r="AC156" s="96"/>
      <c r="AD156" s="96"/>
      <c r="AE156" s="104"/>
      <c r="AF156" s="96"/>
      <c r="AG156" s="96"/>
      <c r="AH156" s="96"/>
      <c r="AI156" s="104"/>
      <c r="AJ156" s="104"/>
      <c r="AK156" s="96"/>
      <c r="AL156" s="96"/>
      <c r="AM156" s="96"/>
      <c r="AN156" s="104"/>
      <c r="AO156" s="104"/>
      <c r="AP156" s="96"/>
      <c r="AQ156" s="96"/>
      <c r="AR156" s="96"/>
      <c r="AS156" s="96"/>
      <c r="AT156" s="96"/>
      <c r="AU156" s="96"/>
      <c r="AV156" s="104"/>
      <c r="AW156" s="96"/>
      <c r="AX156" s="96"/>
      <c r="AY156" s="96"/>
      <c r="AZ156" s="96"/>
      <c r="BA156" s="96"/>
      <c r="BB156" s="104"/>
      <c r="BC156" s="104"/>
      <c r="BD156" s="96"/>
      <c r="BE156" s="96"/>
      <c r="BF156" s="96"/>
      <c r="BG156" s="96"/>
      <c r="BH156" s="96"/>
      <c r="BI156" s="96"/>
      <c r="BJ156" s="96"/>
      <c r="BK156" s="104"/>
      <c r="BL156" s="104"/>
      <c r="BM156" s="96"/>
      <c r="BN156" s="96"/>
      <c r="BO156" s="96"/>
      <c r="BP156" s="96"/>
      <c r="BQ156" s="96"/>
      <c r="BR156" s="104"/>
      <c r="BS156" s="109"/>
      <c r="BT156" s="109"/>
      <c r="BU156" s="109"/>
      <c r="BV156" s="106"/>
      <c r="BW156" s="107"/>
      <c r="BX156" s="107"/>
      <c r="BY156" s="108"/>
      <c r="BZ156" s="109"/>
      <c r="CA156" s="109"/>
      <c r="CB156" s="110"/>
    </row>
    <row r="157" spans="1:80" s="60" customFormat="1" ht="14.4" x14ac:dyDescent="0.3">
      <c r="A157" s="57"/>
      <c r="B157" s="57"/>
      <c r="C157" s="57"/>
      <c r="D157" s="57"/>
      <c r="E157" s="57"/>
      <c r="F157" s="57"/>
      <c r="G157" s="57"/>
      <c r="H157" s="57"/>
      <c r="I157" s="57"/>
      <c r="J157" s="100"/>
      <c r="K157" s="100"/>
      <c r="L157" s="112"/>
      <c r="M157" s="100"/>
      <c r="N157" s="100"/>
      <c r="O157" s="100"/>
      <c r="P157" s="104"/>
      <c r="Q157" s="100"/>
      <c r="R157" s="100"/>
      <c r="S157" s="100"/>
      <c r="T157" s="100"/>
      <c r="U157" s="100"/>
      <c r="V157" s="100"/>
      <c r="W157" s="104"/>
      <c r="X157" s="100"/>
      <c r="Y157" s="104"/>
      <c r="Z157" s="104"/>
      <c r="AA157" s="100"/>
      <c r="AB157" s="100"/>
      <c r="AC157" s="100"/>
      <c r="AD157" s="100"/>
      <c r="AE157" s="104"/>
      <c r="AF157" s="100"/>
      <c r="AG157" s="100"/>
      <c r="AH157" s="100"/>
      <c r="AI157" s="104"/>
      <c r="AJ157" s="104"/>
      <c r="AK157" s="100"/>
      <c r="AL157" s="100"/>
      <c r="AM157" s="100"/>
      <c r="AN157" s="104"/>
      <c r="AO157" s="104"/>
      <c r="AP157" s="100"/>
      <c r="AQ157" s="100"/>
      <c r="AR157" s="100"/>
      <c r="AS157" s="100"/>
      <c r="AT157" s="100"/>
      <c r="AU157" s="100"/>
      <c r="AV157" s="104"/>
      <c r="AW157" s="100"/>
      <c r="AX157" s="100"/>
      <c r="AY157" s="100"/>
      <c r="AZ157" s="100"/>
      <c r="BA157" s="100"/>
      <c r="BB157" s="104"/>
      <c r="BC157" s="104"/>
      <c r="BD157" s="100"/>
      <c r="BE157" s="100"/>
      <c r="BF157" s="100"/>
      <c r="BG157" s="100"/>
      <c r="BH157" s="100"/>
      <c r="BI157" s="100"/>
      <c r="BJ157" s="100"/>
      <c r="BK157" s="104"/>
      <c r="BL157" s="104"/>
      <c r="BM157" s="100"/>
      <c r="BN157" s="100"/>
      <c r="BO157" s="100"/>
      <c r="BP157" s="100"/>
      <c r="BQ157" s="100"/>
      <c r="BR157" s="104"/>
      <c r="BS157" s="109"/>
      <c r="BT157" s="109"/>
      <c r="BU157" s="109"/>
      <c r="BV157" s="106"/>
      <c r="BW157" s="107"/>
      <c r="BX157" s="107"/>
      <c r="BY157" s="108"/>
      <c r="BZ157" s="109"/>
      <c r="CA157" s="109"/>
      <c r="CB157" s="110"/>
    </row>
    <row r="158" spans="1:80" s="60" customFormat="1" ht="14.4" x14ac:dyDescent="0.3">
      <c r="A158" s="14"/>
      <c r="B158" s="14"/>
      <c r="C158" s="14"/>
      <c r="D158" s="14"/>
      <c r="E158" s="14"/>
      <c r="F158" s="14"/>
      <c r="G158" s="14"/>
      <c r="H158" s="14"/>
      <c r="I158" s="14"/>
      <c r="J158" s="96"/>
      <c r="K158" s="96"/>
      <c r="L158" s="103"/>
      <c r="M158" s="96"/>
      <c r="N158" s="96"/>
      <c r="O158" s="96"/>
      <c r="P158" s="104"/>
      <c r="Q158" s="96"/>
      <c r="R158" s="96"/>
      <c r="S158" s="96"/>
      <c r="T158" s="96"/>
      <c r="U158" s="96"/>
      <c r="V158" s="96"/>
      <c r="W158" s="104"/>
      <c r="X158" s="96"/>
      <c r="Y158" s="104"/>
      <c r="Z158" s="104"/>
      <c r="AA158" s="96"/>
      <c r="AB158" s="96"/>
      <c r="AC158" s="96"/>
      <c r="AD158" s="96"/>
      <c r="AE158" s="104"/>
      <c r="AF158" s="96"/>
      <c r="AG158" s="96"/>
      <c r="AH158" s="96"/>
      <c r="AI158" s="104"/>
      <c r="AJ158" s="104"/>
      <c r="AK158" s="96"/>
      <c r="AL158" s="96"/>
      <c r="AM158" s="96"/>
      <c r="AN158" s="104"/>
      <c r="AO158" s="104"/>
      <c r="AP158" s="96"/>
      <c r="AQ158" s="96"/>
      <c r="AR158" s="96"/>
      <c r="AS158" s="96"/>
      <c r="AT158" s="96"/>
      <c r="AU158" s="96"/>
      <c r="AV158" s="104"/>
      <c r="AW158" s="96"/>
      <c r="AX158" s="96"/>
      <c r="AY158" s="96"/>
      <c r="AZ158" s="96"/>
      <c r="BA158" s="96"/>
      <c r="BB158" s="104"/>
      <c r="BC158" s="104"/>
      <c r="BD158" s="96"/>
      <c r="BE158" s="96"/>
      <c r="BF158" s="96"/>
      <c r="BG158" s="96"/>
      <c r="BH158" s="96"/>
      <c r="BI158" s="96"/>
      <c r="BJ158" s="96"/>
      <c r="BK158" s="104"/>
      <c r="BL158" s="104"/>
      <c r="BM158" s="96"/>
      <c r="BN158" s="96"/>
      <c r="BO158" s="96"/>
      <c r="BP158" s="96"/>
      <c r="BQ158" s="96"/>
      <c r="BR158" s="104"/>
      <c r="BS158" s="109"/>
      <c r="BT158" s="109"/>
      <c r="BU158" s="109"/>
      <c r="BV158" s="106"/>
      <c r="BW158" s="107"/>
      <c r="BX158" s="107"/>
      <c r="BY158" s="108"/>
      <c r="BZ158" s="109"/>
      <c r="CA158" s="109"/>
      <c r="CB158" s="110"/>
    </row>
    <row r="159" spans="1:80" s="60" customFormat="1" ht="14.4" x14ac:dyDescent="0.3">
      <c r="A159" s="57"/>
      <c r="B159" s="57"/>
      <c r="C159" s="57"/>
      <c r="D159" s="57"/>
      <c r="E159" s="57"/>
      <c r="F159" s="57"/>
      <c r="G159" s="57"/>
      <c r="H159" s="57"/>
      <c r="I159" s="57"/>
      <c r="J159" s="100"/>
      <c r="K159" s="100"/>
      <c r="L159" s="112"/>
      <c r="M159" s="100"/>
      <c r="N159" s="100"/>
      <c r="O159" s="100"/>
      <c r="P159" s="104"/>
      <c r="Q159" s="100"/>
      <c r="R159" s="100"/>
      <c r="S159" s="100"/>
      <c r="T159" s="100"/>
      <c r="U159" s="100"/>
      <c r="V159" s="100"/>
      <c r="W159" s="104"/>
      <c r="X159" s="100"/>
      <c r="Y159" s="104"/>
      <c r="Z159" s="104"/>
      <c r="AA159" s="100"/>
      <c r="AB159" s="100"/>
      <c r="AC159" s="100"/>
      <c r="AD159" s="100"/>
      <c r="AE159" s="104"/>
      <c r="AF159" s="100"/>
      <c r="AG159" s="100"/>
      <c r="AH159" s="100"/>
      <c r="AI159" s="104"/>
      <c r="AJ159" s="104"/>
      <c r="AK159" s="100"/>
      <c r="AL159" s="100"/>
      <c r="AM159" s="100"/>
      <c r="AN159" s="104"/>
      <c r="AO159" s="104"/>
      <c r="AP159" s="100"/>
      <c r="AQ159" s="100"/>
      <c r="AR159" s="100"/>
      <c r="AS159" s="100"/>
      <c r="AT159" s="100"/>
      <c r="AU159" s="100"/>
      <c r="AV159" s="104"/>
      <c r="AW159" s="100"/>
      <c r="AX159" s="100"/>
      <c r="AY159" s="100"/>
      <c r="AZ159" s="100"/>
      <c r="BA159" s="100"/>
      <c r="BB159" s="104"/>
      <c r="BC159" s="104"/>
      <c r="BD159" s="100"/>
      <c r="BE159" s="100"/>
      <c r="BF159" s="100"/>
      <c r="BG159" s="100"/>
      <c r="BH159" s="100"/>
      <c r="BI159" s="100"/>
      <c r="BJ159" s="100"/>
      <c r="BK159" s="104"/>
      <c r="BL159" s="104"/>
      <c r="BM159" s="100"/>
      <c r="BN159" s="100"/>
      <c r="BO159" s="100"/>
      <c r="BP159" s="100"/>
      <c r="BQ159" s="100"/>
      <c r="BR159" s="104"/>
      <c r="BS159" s="109"/>
      <c r="BT159" s="109"/>
      <c r="BU159" s="109"/>
      <c r="BV159" s="106"/>
      <c r="BW159" s="107"/>
      <c r="BX159" s="107"/>
      <c r="BY159" s="108"/>
      <c r="BZ159" s="109"/>
      <c r="CA159" s="109"/>
      <c r="CB159" s="110"/>
    </row>
    <row r="160" spans="1:80" s="60" customFormat="1" ht="14.4" x14ac:dyDescent="0.3">
      <c r="A160" s="14"/>
      <c r="B160" s="14"/>
      <c r="C160" s="14"/>
      <c r="D160" s="14"/>
      <c r="E160" s="14"/>
      <c r="F160" s="14"/>
      <c r="G160" s="14"/>
      <c r="H160" s="14"/>
      <c r="I160" s="14"/>
      <c r="J160" s="96"/>
      <c r="K160" s="96"/>
      <c r="L160" s="103"/>
      <c r="M160" s="96"/>
      <c r="N160" s="96"/>
      <c r="O160" s="96"/>
      <c r="P160" s="104"/>
      <c r="Q160" s="96"/>
      <c r="R160" s="96"/>
      <c r="S160" s="96"/>
      <c r="T160" s="96"/>
      <c r="U160" s="96"/>
      <c r="V160" s="96"/>
      <c r="W160" s="104"/>
      <c r="X160" s="96"/>
      <c r="Y160" s="104"/>
      <c r="Z160" s="104"/>
      <c r="AA160" s="96"/>
      <c r="AB160" s="96"/>
      <c r="AC160" s="96"/>
      <c r="AD160" s="96"/>
      <c r="AE160" s="104"/>
      <c r="AF160" s="96"/>
      <c r="AG160" s="96"/>
      <c r="AH160" s="96"/>
      <c r="AI160" s="104"/>
      <c r="AJ160" s="104"/>
      <c r="AK160" s="96"/>
      <c r="AL160" s="96"/>
      <c r="AM160" s="96"/>
      <c r="AN160" s="104"/>
      <c r="AO160" s="104"/>
      <c r="AP160" s="96"/>
      <c r="AQ160" s="96"/>
      <c r="AR160" s="96"/>
      <c r="AS160" s="96"/>
      <c r="AT160" s="96"/>
      <c r="AU160" s="96"/>
      <c r="AV160" s="104"/>
      <c r="AW160" s="96"/>
      <c r="AX160" s="96"/>
      <c r="AY160" s="96"/>
      <c r="AZ160" s="96"/>
      <c r="BA160" s="96"/>
      <c r="BB160" s="104"/>
      <c r="BC160" s="104"/>
      <c r="BD160" s="96"/>
      <c r="BE160" s="96"/>
      <c r="BF160" s="96"/>
      <c r="BG160" s="96"/>
      <c r="BH160" s="96"/>
      <c r="BI160" s="96"/>
      <c r="BJ160" s="96"/>
      <c r="BK160" s="104"/>
      <c r="BL160" s="104"/>
      <c r="BM160" s="96"/>
      <c r="BN160" s="96"/>
      <c r="BO160" s="96"/>
      <c r="BP160" s="96"/>
      <c r="BQ160" s="96"/>
      <c r="BR160" s="104"/>
      <c r="BS160" s="109"/>
      <c r="BT160" s="109"/>
      <c r="BU160" s="109"/>
      <c r="BV160" s="106"/>
      <c r="BW160" s="107"/>
      <c r="BX160" s="107"/>
      <c r="BY160" s="108"/>
      <c r="BZ160" s="109"/>
      <c r="CA160" s="109"/>
      <c r="CB160" s="110"/>
    </row>
    <row r="161" spans="1:80" s="60" customFormat="1" ht="14.4" x14ac:dyDescent="0.3">
      <c r="A161" s="57"/>
      <c r="B161" s="57"/>
      <c r="C161" s="57"/>
      <c r="D161" s="57"/>
      <c r="E161" s="57"/>
      <c r="F161" s="57"/>
      <c r="G161" s="57"/>
      <c r="H161" s="57"/>
      <c r="I161" s="57"/>
      <c r="J161" s="100"/>
      <c r="K161" s="100"/>
      <c r="L161" s="112"/>
      <c r="M161" s="100"/>
      <c r="N161" s="100"/>
      <c r="O161" s="100"/>
      <c r="P161" s="104"/>
      <c r="Q161" s="100"/>
      <c r="R161" s="100"/>
      <c r="S161" s="100"/>
      <c r="T161" s="100"/>
      <c r="U161" s="100"/>
      <c r="V161" s="100"/>
      <c r="W161" s="104"/>
      <c r="X161" s="100"/>
      <c r="Y161" s="104"/>
      <c r="Z161" s="104"/>
      <c r="AA161" s="100"/>
      <c r="AB161" s="100"/>
      <c r="AC161" s="100"/>
      <c r="AD161" s="100"/>
      <c r="AE161" s="104"/>
      <c r="AF161" s="100"/>
      <c r="AG161" s="100"/>
      <c r="AH161" s="100"/>
      <c r="AI161" s="104"/>
      <c r="AJ161" s="104"/>
      <c r="AK161" s="100"/>
      <c r="AL161" s="100"/>
      <c r="AM161" s="100"/>
      <c r="AN161" s="104"/>
      <c r="AO161" s="104"/>
      <c r="AP161" s="100"/>
      <c r="AQ161" s="100"/>
      <c r="AR161" s="100"/>
      <c r="AS161" s="100"/>
      <c r="AT161" s="100"/>
      <c r="AU161" s="100"/>
      <c r="AV161" s="104"/>
      <c r="AW161" s="100"/>
      <c r="AX161" s="100"/>
      <c r="AY161" s="100"/>
      <c r="AZ161" s="100"/>
      <c r="BA161" s="100"/>
      <c r="BB161" s="104"/>
      <c r="BC161" s="104"/>
      <c r="BD161" s="100"/>
      <c r="BE161" s="100"/>
      <c r="BF161" s="100"/>
      <c r="BG161" s="100"/>
      <c r="BH161" s="100"/>
      <c r="BI161" s="100"/>
      <c r="BJ161" s="100"/>
      <c r="BK161" s="104"/>
      <c r="BL161" s="104"/>
      <c r="BM161" s="100"/>
      <c r="BN161" s="100"/>
      <c r="BO161" s="100"/>
      <c r="BP161" s="100"/>
      <c r="BQ161" s="100"/>
      <c r="BR161" s="104"/>
      <c r="BS161" s="109"/>
      <c r="BT161" s="109"/>
      <c r="BU161" s="109"/>
      <c r="BV161" s="106"/>
      <c r="BW161" s="107"/>
      <c r="BX161" s="107"/>
      <c r="BY161" s="108"/>
      <c r="BZ161" s="109"/>
      <c r="CA161" s="109"/>
      <c r="CB161" s="110"/>
    </row>
  </sheetData>
  <autoFilter ref="A1:CB128" xr:uid="{6B3D3C65-0B41-4476-8E17-AB40AF00A68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1727F2-9BE7-4594-87AD-3712C4D7633E}">
  <sheetPr codeName="Sheet1"/>
  <dimension ref="A1"/>
  <sheetViews>
    <sheetView tabSelected="1" zoomScaleNormal="100" workbookViewId="0">
      <selection activeCell="R30" sqref="R30"/>
    </sheetView>
  </sheetViews>
  <sheetFormatPr defaultColWidth="8.5546875" defaultRowHeight="14.4" x14ac:dyDescent="0.3"/>
  <cols>
    <col min="1" max="16384" width="8.5546875" style="228"/>
  </cols>
  <sheetData/>
  <sheetProtection algorithmName="SHA-512" hashValue="319xesSXTwxutK0Jz9Ao8If6WgF61UBz7vU/w4fNGs1RA1m8upDgMFxsJvsy6fgrUEwczPd0QIP0HokpbtdqkQ==" saltValue="lWfhBpEQdnCc9sQgCcaL3Q==" spinCount="100000" sheet="1" objects="1" scenarios="1"/>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9D4A6-9E68-4850-B993-01244158B1EC}">
  <sheetPr codeName="Sheet2">
    <pageSetUpPr fitToPage="1"/>
  </sheetPr>
  <dimension ref="A1:F33"/>
  <sheetViews>
    <sheetView showGridLines="0" zoomScaleNormal="100" workbookViewId="0"/>
  </sheetViews>
  <sheetFormatPr defaultColWidth="8.5546875" defaultRowHeight="14.4" x14ac:dyDescent="0.3"/>
  <cols>
    <col min="2" max="2" width="110.5546875" style="118" customWidth="1"/>
    <col min="6" max="6" width="64.5546875" customWidth="1"/>
  </cols>
  <sheetData>
    <row r="1" spans="1:6" ht="23.4" x14ac:dyDescent="0.45">
      <c r="B1" s="114" t="s">
        <v>633</v>
      </c>
      <c r="C1" s="113"/>
      <c r="D1" s="113"/>
      <c r="E1" s="113"/>
      <c r="F1" s="89"/>
    </row>
    <row r="2" spans="1:6" ht="23.4" x14ac:dyDescent="0.45">
      <c r="A2" s="1"/>
      <c r="B2" s="92"/>
      <c r="C2" s="2"/>
      <c r="D2" s="2"/>
      <c r="E2" s="2"/>
      <c r="F2" s="2"/>
    </row>
    <row r="3" spans="1:6" ht="64.8" x14ac:dyDescent="0.3">
      <c r="B3" s="115" t="s">
        <v>638</v>
      </c>
      <c r="C3" s="2"/>
      <c r="D3" s="2"/>
      <c r="E3" s="2"/>
      <c r="F3" s="2"/>
    </row>
    <row r="4" spans="1:6" ht="32.4" x14ac:dyDescent="0.3">
      <c r="B4" s="115" t="s">
        <v>722</v>
      </c>
      <c r="C4" s="2"/>
      <c r="D4" s="2"/>
      <c r="E4" s="2"/>
      <c r="F4" s="2"/>
    </row>
    <row r="5" spans="1:6" ht="15" customHeight="1" x14ac:dyDescent="0.3">
      <c r="B5" s="116"/>
      <c r="C5" s="2"/>
      <c r="D5" s="2"/>
      <c r="E5" s="2"/>
      <c r="F5" s="2"/>
    </row>
    <row r="6" spans="1:6" ht="20.399999999999999" x14ac:dyDescent="0.3">
      <c r="B6" s="269" t="s">
        <v>746</v>
      </c>
      <c r="C6" s="2"/>
      <c r="D6" s="2"/>
      <c r="E6" s="2"/>
      <c r="F6" s="2"/>
    </row>
    <row r="7" spans="1:6" ht="23.4" x14ac:dyDescent="0.45">
      <c r="A7" s="3"/>
      <c r="B7" s="92"/>
      <c r="C7" s="2"/>
      <c r="D7" s="2"/>
      <c r="E7" s="2"/>
      <c r="F7" s="2"/>
    </row>
    <row r="8" spans="1:6" ht="25.2" x14ac:dyDescent="0.3">
      <c r="B8" s="119" t="s">
        <v>639</v>
      </c>
      <c r="C8" s="2"/>
      <c r="D8" s="2"/>
      <c r="E8" s="2"/>
      <c r="F8" s="2"/>
    </row>
    <row r="9" spans="1:6" ht="28.35" customHeight="1" x14ac:dyDescent="0.3">
      <c r="A9" s="4"/>
      <c r="B9" s="117"/>
      <c r="C9" s="4"/>
      <c r="D9" s="4"/>
      <c r="E9" s="4"/>
      <c r="F9" s="2"/>
    </row>
    <row r="10" spans="1:6" ht="20.399999999999999" x14ac:dyDescent="0.3">
      <c r="A10" s="48"/>
      <c r="B10" s="212" t="s">
        <v>0</v>
      </c>
      <c r="C10" s="43"/>
      <c r="D10" s="43"/>
      <c r="E10" s="43"/>
      <c r="F10" s="43"/>
    </row>
    <row r="11" spans="1:6" ht="40.799999999999997" x14ac:dyDescent="0.3">
      <c r="A11" s="125" t="s">
        <v>640</v>
      </c>
      <c r="B11" s="120" t="s">
        <v>654</v>
      </c>
      <c r="C11" s="2"/>
      <c r="E11" s="2"/>
      <c r="F11" s="2"/>
    </row>
    <row r="12" spans="1:6" ht="20.399999999999999" x14ac:dyDescent="0.3">
      <c r="A12" s="5"/>
      <c r="B12" s="120"/>
      <c r="C12" s="2"/>
      <c r="E12" s="2"/>
      <c r="F12" s="2"/>
    </row>
    <row r="13" spans="1:6" ht="20.399999999999999" x14ac:dyDescent="0.3">
      <c r="A13" s="5"/>
      <c r="B13" s="120" t="s">
        <v>655</v>
      </c>
      <c r="C13" s="2"/>
      <c r="E13" s="2"/>
      <c r="F13" s="2"/>
    </row>
    <row r="14" spans="1:6" ht="21" x14ac:dyDescent="0.3">
      <c r="A14" s="2"/>
      <c r="B14" s="121"/>
      <c r="C14" s="2"/>
      <c r="D14" s="2"/>
      <c r="E14" s="2"/>
      <c r="F14" s="2"/>
    </row>
    <row r="15" spans="1:6" ht="20.399999999999999" x14ac:dyDescent="0.3">
      <c r="B15" s="212" t="s">
        <v>1</v>
      </c>
      <c r="C15" s="6"/>
      <c r="D15" s="6"/>
      <c r="E15" s="6"/>
      <c r="F15" s="7"/>
    </row>
    <row r="16" spans="1:6" ht="40.799999999999997" x14ac:dyDescent="0.3">
      <c r="A16" s="5"/>
      <c r="B16" s="120" t="s">
        <v>687</v>
      </c>
      <c r="C16" s="2"/>
      <c r="D16" s="2"/>
      <c r="E16" s="2"/>
      <c r="F16" s="7"/>
    </row>
    <row r="17" spans="1:6" ht="10.35" customHeight="1" x14ac:dyDescent="0.3">
      <c r="A17" s="5"/>
      <c r="B17" s="120"/>
      <c r="C17" s="2"/>
      <c r="D17" s="2"/>
      <c r="E17" s="2"/>
      <c r="F17" s="7"/>
    </row>
    <row r="18" spans="1:6" ht="40.799999999999997" x14ac:dyDescent="0.3">
      <c r="A18" s="5"/>
      <c r="B18" s="120" t="s">
        <v>661</v>
      </c>
      <c r="C18" s="2"/>
      <c r="D18" s="2"/>
      <c r="E18" s="2"/>
      <c r="F18" s="7"/>
    </row>
    <row r="19" spans="1:6" ht="20.399999999999999" x14ac:dyDescent="0.3">
      <c r="A19" s="5"/>
      <c r="B19" s="122"/>
      <c r="C19" s="5"/>
      <c r="D19" s="2"/>
      <c r="E19" s="2"/>
      <c r="F19" s="2"/>
    </row>
    <row r="20" spans="1:6" ht="20.399999999999999" x14ac:dyDescent="0.3">
      <c r="B20" s="123" t="s">
        <v>2</v>
      </c>
      <c r="C20" s="48"/>
      <c r="D20" s="2"/>
      <c r="E20" s="2"/>
      <c r="F20" s="2"/>
    </row>
    <row r="21" spans="1:6" ht="40.35" customHeight="1" x14ac:dyDescent="0.3">
      <c r="A21" s="5"/>
      <c r="B21" s="122" t="s">
        <v>3</v>
      </c>
      <c r="C21" s="5"/>
      <c r="D21" s="2"/>
      <c r="E21" s="2"/>
      <c r="F21" s="2"/>
    </row>
    <row r="22" spans="1:6" ht="10.35" customHeight="1" x14ac:dyDescent="0.3">
      <c r="A22" s="5"/>
      <c r="B22" s="122"/>
      <c r="C22" s="5"/>
      <c r="D22" s="2"/>
      <c r="E22" s="2"/>
      <c r="F22" s="2"/>
    </row>
    <row r="23" spans="1:6" ht="20.399999999999999" x14ac:dyDescent="0.3">
      <c r="A23" s="5"/>
      <c r="B23" s="120" t="s">
        <v>4</v>
      </c>
      <c r="C23" s="5"/>
      <c r="D23" s="2"/>
      <c r="E23" s="2"/>
      <c r="F23" s="2"/>
    </row>
    <row r="24" spans="1:6" ht="20.399999999999999" x14ac:dyDescent="0.3">
      <c r="A24" s="9"/>
      <c r="B24" s="120"/>
      <c r="C24" s="2"/>
      <c r="D24" s="2"/>
      <c r="E24" s="2"/>
      <c r="F24" s="2"/>
    </row>
    <row r="25" spans="1:6" ht="20.399999999999999" x14ac:dyDescent="0.3">
      <c r="B25" s="124" t="s">
        <v>5</v>
      </c>
      <c r="C25" s="48"/>
      <c r="D25" s="10"/>
      <c r="E25" s="10"/>
      <c r="F25" s="7"/>
    </row>
    <row r="26" spans="1:6" ht="20.399999999999999" x14ac:dyDescent="0.3">
      <c r="A26" s="5"/>
      <c r="B26" s="120" t="s">
        <v>6</v>
      </c>
      <c r="C26" s="2"/>
      <c r="D26" s="2"/>
      <c r="E26" s="2"/>
      <c r="F26" s="2"/>
    </row>
    <row r="27" spans="1:6" ht="20.399999999999999" x14ac:dyDescent="0.3">
      <c r="A27" s="5"/>
      <c r="B27" s="120"/>
      <c r="C27" s="2"/>
      <c r="D27" s="2"/>
      <c r="E27" s="2"/>
      <c r="F27" s="2"/>
    </row>
    <row r="28" spans="1:6" ht="20.399999999999999" x14ac:dyDescent="0.3">
      <c r="B28" s="212" t="s">
        <v>656</v>
      </c>
      <c r="C28" s="2"/>
      <c r="D28" s="2"/>
      <c r="E28" s="2"/>
      <c r="F28" s="2"/>
    </row>
    <row r="29" spans="1:6" ht="20.399999999999999" x14ac:dyDescent="0.3">
      <c r="A29" s="5"/>
      <c r="B29" s="120" t="s">
        <v>657</v>
      </c>
      <c r="C29" s="2"/>
      <c r="D29" s="2"/>
      <c r="E29" s="2"/>
      <c r="F29" s="2"/>
    </row>
    <row r="30" spans="1:6" ht="20.399999999999999" x14ac:dyDescent="0.3">
      <c r="A30" s="2"/>
      <c r="B30" s="120"/>
      <c r="C30" s="2"/>
      <c r="D30" s="2"/>
      <c r="E30" s="2"/>
      <c r="F30" s="2"/>
    </row>
    <row r="31" spans="1:6" ht="20.399999999999999" x14ac:dyDescent="0.3">
      <c r="B31" s="123" t="s">
        <v>7</v>
      </c>
      <c r="C31" s="6"/>
      <c r="D31" s="6"/>
      <c r="E31" s="6"/>
      <c r="F31" s="7"/>
    </row>
    <row r="32" spans="1:6" ht="40.799999999999997" x14ac:dyDescent="0.3">
      <c r="A32" s="5"/>
      <c r="B32" s="120" t="s">
        <v>658</v>
      </c>
      <c r="C32" s="2"/>
      <c r="D32" s="2"/>
      <c r="E32" s="8"/>
      <c r="F32" s="2"/>
    </row>
    <row r="33" spans="1:6" x14ac:dyDescent="0.3">
      <c r="A33" s="5"/>
      <c r="B33" s="92"/>
      <c r="C33" s="2"/>
      <c r="D33" s="2"/>
      <c r="E33" s="2"/>
      <c r="F33" s="2"/>
    </row>
  </sheetData>
  <sheetProtection algorithmName="SHA-512" hashValue="tvtvPAEbuniKKTo3GifueguBy4a7nLcQ9Wfbocai0QRL/8AQOGcsahKRLShGAYGsLbfxJ97KB9GyM+9pdAzZFw==" saltValue="Yb+7J5B2Baz/RSMAL0enPA==" spinCount="100000" sheet="1" objects="1" scenarios="1"/>
  <hyperlinks>
    <hyperlink ref="B15" location="'Data Overview '!A1" display="Data Overview" xr:uid="{EDD714DE-9373-47F5-9081-970758376EC5}"/>
    <hyperlink ref="B20" location="'Current YTD Data Table'!A1" display="Current YTD Data Table" xr:uid="{5A7F0B3A-1C80-45BB-BCF6-B6B10F9AEFFD}"/>
    <hyperlink ref="B25" location="'Current YTD Data Pull'!A1" display="Current YTD Data Pull" xr:uid="{A37D6EF5-2AFE-4F26-A717-350F251B79A0}"/>
    <hyperlink ref="B31" location="'Technical Appendix'!A1" display="Technical Appendix" xr:uid="{55872B7E-2C6D-4AC8-B4D4-DC6A1AFD3D71}"/>
    <hyperlink ref="B28" location="'Current YTD TS Databook'!A1" display="Current YTD TS Databook" xr:uid="{D650AD97-D459-427A-A22E-9E0A692DAEA1}"/>
    <hyperlink ref="B25" location="'Current YTD Databook'!A1" display="Current YTD Databook" xr:uid="{89021E1F-1E6E-49CC-AE94-9241011ADB10}"/>
    <hyperlink ref="B10" location="'Report Highlights'!A1" display="Report Highlights" xr:uid="{D4F6B474-656C-4B63-8387-C588A0F33158}"/>
  </hyperlinks>
  <pageMargins left="0.7" right="0.7" top="0.75" bottom="0.75" header="0.3" footer="0.3"/>
  <pageSetup scale="63" orientation="portrait" r:id="rId1"/>
  <headerFooter>
    <oddHeader xml:space="preserve">&amp;C   </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36B2C-AAFE-4E43-87D0-02206909184E}">
  <sheetPr codeName="Sheet3"/>
  <dimension ref="A1:A28"/>
  <sheetViews>
    <sheetView showGridLines="0" showRuler="0" zoomScaleNormal="100" workbookViewId="0">
      <selection activeCell="C5" sqref="C5"/>
    </sheetView>
  </sheetViews>
  <sheetFormatPr defaultColWidth="8.5546875" defaultRowHeight="14.4" x14ac:dyDescent="0.3"/>
  <cols>
    <col min="1" max="1" width="134" style="44" customWidth="1"/>
  </cols>
  <sheetData>
    <row r="1" spans="1:1" ht="28.2" x14ac:dyDescent="0.3">
      <c r="A1" s="126" t="s">
        <v>8</v>
      </c>
    </row>
    <row r="2" spans="1:1" s="128" customFormat="1" ht="76.5" customHeight="1" x14ac:dyDescent="0.3">
      <c r="A2" s="211" t="s">
        <v>742</v>
      </c>
    </row>
    <row r="3" spans="1:1" s="129" customFormat="1" ht="102" customHeight="1" x14ac:dyDescent="0.3">
      <c r="A3" s="211" t="s">
        <v>743</v>
      </c>
    </row>
    <row r="4" spans="1:1" s="128" customFormat="1" ht="82.5" customHeight="1" x14ac:dyDescent="0.3">
      <c r="A4" s="211" t="s">
        <v>744</v>
      </c>
    </row>
    <row r="5" spans="1:1" s="128" customFormat="1" ht="61.5" customHeight="1" x14ac:dyDescent="0.3">
      <c r="A5" s="211" t="s">
        <v>745</v>
      </c>
    </row>
    <row r="7" spans="1:1" ht="28.2" x14ac:dyDescent="0.3">
      <c r="A7" s="126" t="s">
        <v>9</v>
      </c>
    </row>
    <row r="8" spans="1:1" ht="84.75" customHeight="1" x14ac:dyDescent="0.3">
      <c r="A8" s="127" t="s">
        <v>685</v>
      </c>
    </row>
    <row r="9" spans="1:1" s="128" customFormat="1" ht="29.1" customHeight="1" x14ac:dyDescent="0.3">
      <c r="A9" s="127" t="s">
        <v>659</v>
      </c>
    </row>
    <row r="10" spans="1:1" ht="15" customHeight="1" x14ac:dyDescent="0.3">
      <c r="A10" s="79"/>
    </row>
    <row r="11" spans="1:1" ht="28.2" x14ac:dyDescent="0.3">
      <c r="A11" s="126" t="s">
        <v>10</v>
      </c>
    </row>
    <row r="12" spans="1:1" s="128" customFormat="1" ht="20.399999999999999" x14ac:dyDescent="0.3">
      <c r="A12" s="130" t="s">
        <v>724</v>
      </c>
    </row>
    <row r="13" spans="1:1" s="128" customFormat="1" ht="29.1" customHeight="1" x14ac:dyDescent="0.3">
      <c r="A13" s="127" t="s">
        <v>725</v>
      </c>
    </row>
    <row r="14" spans="1:1" s="128" customFormat="1" ht="50.1" customHeight="1" x14ac:dyDescent="0.3">
      <c r="A14" s="127" t="s">
        <v>741</v>
      </c>
    </row>
    <row r="16" spans="1:1" ht="20.399999999999999" x14ac:dyDescent="0.3">
      <c r="A16" s="130" t="s">
        <v>702</v>
      </c>
    </row>
    <row r="17" spans="1:1" s="128" customFormat="1" ht="29.1" customHeight="1" x14ac:dyDescent="0.3">
      <c r="A17" s="127" t="s">
        <v>641</v>
      </c>
    </row>
    <row r="18" spans="1:1" s="129" customFormat="1" ht="29.1" customHeight="1" x14ac:dyDescent="0.3">
      <c r="A18" s="127" t="s">
        <v>642</v>
      </c>
    </row>
    <row r="19" spans="1:1" s="128" customFormat="1" ht="29.1" customHeight="1" x14ac:dyDescent="0.3">
      <c r="A19" s="127" t="s">
        <v>643</v>
      </c>
    </row>
    <row r="20" spans="1:1" s="128" customFormat="1" ht="29.1" customHeight="1" x14ac:dyDescent="0.3">
      <c r="A20" s="127" t="s">
        <v>660</v>
      </c>
    </row>
    <row r="21" spans="1:1" s="129" customFormat="1" ht="50.1" customHeight="1" x14ac:dyDescent="0.3">
      <c r="A21" s="127" t="s">
        <v>644</v>
      </c>
    </row>
    <row r="22" spans="1:1" s="128" customFormat="1" ht="50.1" customHeight="1" x14ac:dyDescent="0.3">
      <c r="A22" s="127" t="s">
        <v>645</v>
      </c>
    </row>
    <row r="23" spans="1:1" s="128" customFormat="1" ht="50.1" customHeight="1" x14ac:dyDescent="0.3">
      <c r="A23" s="127" t="s">
        <v>646</v>
      </c>
    </row>
    <row r="25" spans="1:1" ht="20.399999999999999" x14ac:dyDescent="0.3">
      <c r="A25" s="130"/>
    </row>
    <row r="26" spans="1:1" s="128" customFormat="1" ht="29.1" customHeight="1" x14ac:dyDescent="0.3">
      <c r="A26" s="127"/>
    </row>
    <row r="27" spans="1:1" s="128" customFormat="1" ht="39" customHeight="1" x14ac:dyDescent="0.3">
      <c r="A27" s="127"/>
    </row>
    <row r="28" spans="1:1" s="128" customFormat="1" ht="20.399999999999999" x14ac:dyDescent="0.3">
      <c r="A28" s="127"/>
    </row>
  </sheetData>
  <sheetProtection algorithmName="SHA-512" hashValue="h/VUbBo1caBkRBulkjW3rCl7znkBH0xFEptx93C7FOePzXjx1+RuPX3C9eWj3dT6Dl+QQYLCMcVvMYOIlmOaag==" saltValue="OTArZn1wrPnV1C0i7O8gZg==" spinCount="100000" sheet="1" objects="1" scenarios="1"/>
  <pageMargins left="0.7" right="0.7" top="0.75" bottom="0.75" header="0.3" footer="0.3"/>
  <pageSetup paperSize="3" orientation="portrait" r:id="rId1"/>
  <headerFooter>
    <oddHeader xml:space="preserve">&amp;C&amp;"Arial,Regular"&amp;8   </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9C0736-6897-094A-B447-1C3A65F78275}">
  <sheetPr codeName="Sheet12"/>
  <dimension ref="A1:K141"/>
  <sheetViews>
    <sheetView zoomScale="118" zoomScaleNormal="118" workbookViewId="0">
      <selection sqref="A1:H1"/>
    </sheetView>
  </sheetViews>
  <sheetFormatPr defaultColWidth="8.5546875" defaultRowHeight="12" x14ac:dyDescent="0.3"/>
  <cols>
    <col min="1" max="1" width="43.5546875" style="51" customWidth="1"/>
    <col min="2" max="2" width="10.44140625" style="54" customWidth="1"/>
    <col min="3" max="3" width="8.5546875" style="51"/>
    <col min="4" max="4" width="44.44140625" style="51" bestFit="1" customWidth="1"/>
    <col min="5" max="5" width="11.5546875" style="54" bestFit="1" customWidth="1"/>
    <col min="6" max="6" width="8.5546875" style="51"/>
    <col min="7" max="7" width="44.44140625" style="51" bestFit="1" customWidth="1"/>
    <col min="8" max="8" width="8.5546875" style="54"/>
    <col min="9" max="9" width="6.5546875" style="51" bestFit="1" customWidth="1"/>
    <col min="10" max="10" width="34.44140625" style="51" hidden="1" customWidth="1"/>
    <col min="11" max="11" width="25.44140625" style="51" hidden="1" customWidth="1"/>
    <col min="12" max="12" width="11" style="51" bestFit="1" customWidth="1"/>
    <col min="13" max="16384" width="8.5546875" style="51"/>
  </cols>
  <sheetData>
    <row r="1" spans="1:11" ht="13.8" x14ac:dyDescent="0.3">
      <c r="A1" s="270" t="s">
        <v>688</v>
      </c>
      <c r="B1" s="270"/>
      <c r="C1" s="270"/>
      <c r="D1" s="270"/>
      <c r="E1" s="270"/>
      <c r="F1" s="270"/>
      <c r="G1" s="270"/>
      <c r="H1" s="270"/>
      <c r="J1" s="51" t="s">
        <v>11</v>
      </c>
    </row>
    <row r="2" spans="1:11" x14ac:dyDescent="0.3">
      <c r="J2" s="51" t="s">
        <v>12</v>
      </c>
    </row>
    <row r="4" spans="1:11" x14ac:dyDescent="0.3">
      <c r="A4" s="272" t="s">
        <v>13</v>
      </c>
      <c r="B4" s="272"/>
      <c r="C4" s="274" t="s">
        <v>14</v>
      </c>
      <c r="D4" s="272"/>
    </row>
    <row r="5" spans="1:11" x14ac:dyDescent="0.3">
      <c r="A5" s="273" t="s">
        <v>15</v>
      </c>
      <c r="B5" s="273"/>
      <c r="C5" s="275" t="s">
        <v>15</v>
      </c>
      <c r="D5" s="273"/>
    </row>
    <row r="6" spans="1:11" ht="20.100000000000001" customHeight="1" x14ac:dyDescent="0.3"/>
    <row r="7" spans="1:11" x14ac:dyDescent="0.3">
      <c r="A7" s="131" t="s">
        <v>712</v>
      </c>
      <c r="B7" s="132"/>
      <c r="D7" s="140" t="s">
        <v>713</v>
      </c>
      <c r="E7" s="139"/>
      <c r="G7" s="149" t="s">
        <v>714</v>
      </c>
      <c r="H7" s="150"/>
      <c r="J7" s="50" t="s">
        <v>13</v>
      </c>
      <c r="K7" s="50" t="s">
        <v>14</v>
      </c>
    </row>
    <row r="8" spans="1:11" x14ac:dyDescent="0.3">
      <c r="A8" s="50" t="s">
        <v>16</v>
      </c>
      <c r="D8" s="50" t="s">
        <v>16</v>
      </c>
      <c r="G8" s="151" t="s">
        <v>16</v>
      </c>
      <c r="H8" s="152"/>
      <c r="J8" s="51" t="s">
        <v>15</v>
      </c>
      <c r="K8" s="51" t="s">
        <v>15</v>
      </c>
    </row>
    <row r="9" spans="1:11" x14ac:dyDescent="0.3">
      <c r="A9" s="133" t="s">
        <v>17</v>
      </c>
      <c r="B9" s="134">
        <f>COUNTIFS('Current YTD Data Table'!$E$2:$E$597,"AcuteHospital",'Current YTD Data Table'!$F$2:$F$597,IF($A$5="All","&lt;&gt;"&amp;"",$A$5),'Current YTD Data Table'!$I$2:$I$597,IF($C$5="All","&lt;&gt;"&amp;"",$C$5))</f>
        <v>58</v>
      </c>
      <c r="D9" s="142" t="s">
        <v>17</v>
      </c>
      <c r="E9" s="143">
        <f>COUNTIFS('Prior Year Data Table'!$E$2:$E$593,"AcuteHospital",'Prior Year Data Table'!$F$2:$F$593,IF($A$5="All","&lt;&gt;"&amp;"",$A$5),'Prior Year Data Table'!$G$2:$G$593,IF($C$5="All","&lt;&gt;"&amp;"",$C$5))</f>
        <v>55</v>
      </c>
      <c r="G9" s="154" t="s">
        <v>17</v>
      </c>
      <c r="H9" s="155">
        <f>COUNTIFS('Prior YTD Data Table'!$E$2:$E$607,"AcuteHospital",'Prior YTD Data Table'!$F$2:$F$607,IF($A$5="All","&lt;&gt;"&amp;"",$A$5),'Prior YTD Data Table'!$G$2:$G$607,IF($C$5="All","&lt;&gt;"&amp;"",$C$5))</f>
        <v>58</v>
      </c>
    </row>
    <row r="10" spans="1:11" x14ac:dyDescent="0.3">
      <c r="A10" s="138" t="s">
        <v>18</v>
      </c>
      <c r="B10" s="135" cm="1">
        <f t="array" ref="B10">IFERROR(MEDIAN(IF('Current YTD Data Table'!$E$2:$E$597="AcuteHospital",IF(IF($A$5="All",'Current YTD Data Table'!$F$2:$F$597&lt;&gt;"",'Current YTD Data Table'!$F$2:$F$597=$A$5),IF(IF($C$5="All",'Current YTD Data Table'!$I$2:$I$597&lt;&gt;"",'Current YTD Data Table'!$I$2:$I$597=$C$5),'Current YTD Data Table'!$T$2:$T$597)))),"-")</f>
        <v>2.5468003490313546E-2</v>
      </c>
      <c r="D10" s="144" t="s">
        <v>18</v>
      </c>
      <c r="E10" s="145" cm="1">
        <f t="array" ref="E10">IFERROR(MEDIAN(IF('Prior Year Data Table'!$E$2:$E$593="AcuteHospital",IF(IF($A$5="All",'Prior Year Data Table'!$F$2:$F$593&lt;&gt;"",'Prior Year Data Table'!$F$2:$F$593=$A$5),IF(IF($C$5="All",'Prior Year Data Table'!$G$2:$G593&lt;&gt;"",'Prior Year Data Table'!$G$2:$G593=$C$5),'Prior Year Data Table'!$M$2:$M593)))),"-")</f>
        <v>3.1870567273449973E-2</v>
      </c>
      <c r="G10" s="157" t="s">
        <v>18</v>
      </c>
      <c r="H10" s="158" cm="1">
        <f t="array" ref="H10">IFERROR(MEDIAN(IF('Prior YTD Data Table'!$E$2:$E$607="AcuteHospital",IF(IF($A$5="All",'Prior YTD Data Table'!$F$2:$F$607&lt;&gt;"",'Prior YTD Data Table'!$F$2:$F$607=$A$5),IF(IF($C$5="All",'Prior YTD Data Table'!$G$2:$G607&lt;&gt;"",'Prior YTD Data Table'!$G$2:$G607=$C$5),'Prior YTD Data Table'!$M$2:$M607)))),"-")</f>
        <v>2.0969543793114095E-2</v>
      </c>
    </row>
    <row r="11" spans="1:11" x14ac:dyDescent="0.3">
      <c r="A11" s="133" t="s">
        <v>19</v>
      </c>
      <c r="B11" s="136" cm="1">
        <f t="array" ref="B11">IFERROR(MEDIAN(IF('Current YTD Data Table'!$E$2:$E$597="AcuteHospital",IF(IF($A$5="All",'Current YTD Data Table'!$F$2:$F$597&lt;&gt;"",'Current YTD Data Table'!$F$2:$F$597=$A$5),IF(IF($C$5="All",'Current YTD Data Table'!$I$2:$I$597&lt;&gt;"",'Current YTD Data Table'!$I$2:$I$597=$C$5),'Current YTD Data Table'!$R$2:$R$597)))),"-")</f>
        <v>1.0889025586138272E-2</v>
      </c>
      <c r="D11" s="142" t="s">
        <v>19</v>
      </c>
      <c r="E11" s="146" cm="1">
        <f t="array" ref="E11">IFERROR(MEDIAN(IF('Prior Year Data Table'!$E$2:$E$593="AcuteHospital",IF(IF($A$5="All",'Prior Year Data Table'!$F$2:$F$593&lt;&gt;"",'Prior Year Data Table'!$F$2:$F$593=$A$5),IF(IF($C$5="All",'Prior Year Data Table'!$G$2:$G593&lt;&gt;"",'Prior Year Data Table'!$G$2:$G593=$C$5),'Prior Year Data Table'!$K$2:$K593)))),"-")</f>
        <v>2.0092391924261436E-2</v>
      </c>
      <c r="G11" s="154" t="s">
        <v>19</v>
      </c>
      <c r="H11" s="156" cm="1">
        <f t="array" ref="H11">IFERROR(MEDIAN(IF('Prior YTD Data Table'!$E$2:$E$607="AcuteHospital",IF(IF($A$5="All",'Prior YTD Data Table'!$F$2:$F$607&lt;&gt;"",'Prior YTD Data Table'!$F$2:$F$607=$A$5),IF(IF($C$5="All",'Prior YTD Data Table'!$G$2:$G607&lt;&gt;"",'Prior YTD Data Table'!$G$2:$G607=$C$5),'Prior YTD Data Table'!$K$2:$K607)))),"-")</f>
        <v>1.5177745242663757E-2</v>
      </c>
    </row>
    <row r="12" spans="1:11" x14ac:dyDescent="0.3">
      <c r="A12" s="138" t="s">
        <v>20</v>
      </c>
      <c r="B12" s="135" cm="1">
        <f t="array" ref="B12">IFERROR(MEDIAN(IF('Current YTD Data Table'!$E$2:$E$597="AcuteHospital",IF(IF($A$5="All",'Current YTD Data Table'!$F$2:$F$597&lt;&gt;"",'Current YTD Data Table'!$F$2:$F$597=$A$5),IF(IF($C$5="All",'Current YTD Data Table'!$I$2:$I$597&lt;&gt;"",'Current YTD Data Table'!$I$2:$I$597=$C$5),'Current YTD Data Table'!$S$2:$S$597)))),"-")</f>
        <v>7.4194265944535209E-3</v>
      </c>
      <c r="D12" s="144" t="s">
        <v>20</v>
      </c>
      <c r="E12" s="145" cm="1">
        <f t="array" ref="E12">IFERROR(MEDIAN(IF('Prior Year Data Table'!$E$2:$E$593="AcuteHospital",IF(IF($A$5="All",'Prior Year Data Table'!$F$2:$F$593&lt;&gt;"",'Prior Year Data Table'!$F$2:$F$593=$A$5),IF(IF($C$5="All",'Prior Year Data Table'!$G$2:$G$593&lt;&gt;"",'Prior Year Data Table'!$G$2:$G$593=$C$5),'Prior Year Data Table'!$L$2:$L$593)))),"-")</f>
        <v>2.0536396910814735E-2</v>
      </c>
      <c r="G12" s="157" t="s">
        <v>20</v>
      </c>
      <c r="H12" s="158" cm="1">
        <f t="array" ref="H12">IFERROR(MEDIAN(IF('Prior YTD Data Table'!$E$2:$E$607="AcuteHospital",IF(IF($A$5="All",'Prior YTD Data Table'!$F$2:$F$607&lt;&gt;"",'Prior YTD Data Table'!$F$2:$F$607=$A$5),IF(IF($C$5="All",'Prior YTD Data Table'!$G$2:$G$607&lt;&gt;"",'Prior YTD Data Table'!$G$2:$G$607=$C$5),'Prior YTD Data Table'!$L$2:$L$607)))),"-")</f>
        <v>6.4689033591945502E-4</v>
      </c>
      <c r="K12" s="52"/>
    </row>
    <row r="13" spans="1:11" x14ac:dyDescent="0.3">
      <c r="A13" s="133" t="s">
        <v>662</v>
      </c>
      <c r="B13" s="134">
        <f>COUNTIFS('Current YTD Data Table'!$E$2:$E$597,"AcuteHospital",'Current YTD Data Table'!$P$2:$P$597,"&gt;"&amp;0,'Current YTD Data Table'!$F$2:$F$597,IF($A$5="All","&lt;&gt;"&amp;"",$A$5),'Current YTD Data Table'!$I$2:$I$597,IF($C$5="All","&lt;&gt;"&amp;"",$C$5))</f>
        <v>38</v>
      </c>
      <c r="D13" s="142" t="s">
        <v>662</v>
      </c>
      <c r="E13" s="143">
        <f>COUNTIFS('Prior Year Data Table'!$E$2:$E$593,"AcuteHospital",'Prior Year Data Table'!$N$2:$N$593,"&gt;"&amp;0,'Prior Year Data Table'!$F$2:$F$593,IF($A$5="All","&lt;&gt;"&amp;"",$A$5),'Prior Year Data Table'!$G$2:$G$593,IF($C$5="All","&lt;&gt;"&amp;"",$C$5))</f>
        <v>42</v>
      </c>
      <c r="G13" s="154" t="s">
        <v>662</v>
      </c>
      <c r="H13" s="155">
        <f>COUNTIFS('Prior YTD Data Table'!$E$2:$E$607,"AcuteHospital",'Prior YTD Data Table'!$N$2:$N$607,"&gt;"&amp;0,'Prior YTD Data Table'!$F$2:$F$607,IF($A$5="All","&lt;&gt;"&amp;"",$A$5),'Prior YTD Data Table'!$G$2:$G$607,IF($C$5="All","&lt;&gt;"&amp;"",$C$5))</f>
        <v>38</v>
      </c>
      <c r="J13" s="51" t="s">
        <v>15</v>
      </c>
      <c r="K13" s="51" t="s">
        <v>15</v>
      </c>
    </row>
    <row r="14" spans="1:11" x14ac:dyDescent="0.3">
      <c r="A14" s="138" t="s">
        <v>21</v>
      </c>
      <c r="B14" s="137" cm="1">
        <f t="array" ref="B14">SUM(IF('Current YTD Data Table'!$E$2:$E$597="AcuteHospital",IF(IF('Data Overview '!$A$5="All",'Current YTD Data Table'!$F$2:$F$597&lt;&gt;"",'Current YTD Data Table'!$F$2:$F$597='Data Overview '!$A$5),IF(IF('Data Overview '!$C$5="All",'Current YTD Data Table'!$I$2:$I$597&lt;&gt;"",'Current YTD Data Table'!$I$2:$I$597='Data Overview '!$C$5),IF(IF('Current YTD Data Table'!$K$2:$K$597="",0,'Current YTD Data Table'!$K$2:$K$597)-IF('Current YTD Data Table'!$O$2:$O$597="",0,'Current YTD Data Table'!$O$2:$O$597)&gt;0,1)))))</f>
        <v>34</v>
      </c>
      <c r="D14" s="144" t="s">
        <v>21</v>
      </c>
      <c r="E14" s="147" cm="1">
        <f t="array" ref="E14">SUM(IF('Prior Year Data Table'!$E$2:$E$593="AcuteHospital",IF(IF('Data Overview '!$A$5="All",'Prior Year Data Table'!$F$2:$F$593&lt;&gt;"",'Prior Year Data Table'!$F$2:$F$593='Data Overview '!$A$5),IF(IF('Data Overview '!$C$5="All",'Prior Year Data Table'!$G$2:$G$593&lt;&gt;"",'Prior Year Data Table'!$G$2:$G$593='Data Overview '!$C$5),IF(IF('Prior Year Data Table'!$Q$2:$Q$593="",0,'Prior Year Data Table'!$Q$2:$Q$593)-IF('Prior Year Data Table'!$U$2:$U$593="",0,'Prior Year Data Table'!$U$2:$U$593)&gt;0,1)))))</f>
        <v>35</v>
      </c>
      <c r="G14" s="160" t="s">
        <v>21</v>
      </c>
      <c r="H14" s="267" cm="1">
        <f t="array" ref="H14">SUM(IF('Prior YTD Data Table'!$E$2:$E$607="AcuteHospital",IF(IF('Data Overview '!$A$5="All",'Prior YTD Data Table'!$F$2:$F$607&lt;&gt;"",'Prior YTD Data Table'!$F$2:$F$607='Data Overview '!$A$5),IF(IF('Data Overview '!$C$5="All",'Prior YTD Data Table'!$G$2:$G$607&lt;&gt;"",'Prior YTD Data Table'!$G$2:$G$607='Data Overview '!$C$5),IF(IF('Prior YTD Data Table'!$Q$2:$Q$607="",0,'Prior YTD Data Table'!$Q$2:$Q$607)-IF('Prior YTD Data Table'!$U$2:$U$593="",0,'Prior YTD Data Table'!$U$2:$U$593)&gt;0,1)))))</f>
        <v>33</v>
      </c>
      <c r="J14" s="51" t="s">
        <v>22</v>
      </c>
      <c r="K14" s="51" t="s">
        <v>23</v>
      </c>
    </row>
    <row r="15" spans="1:11" x14ac:dyDescent="0.3">
      <c r="G15" s="153"/>
      <c r="H15" s="152"/>
      <c r="J15" s="51" t="s">
        <v>24</v>
      </c>
      <c r="K15" s="51" t="s">
        <v>25</v>
      </c>
    </row>
    <row r="16" spans="1:11" x14ac:dyDescent="0.3">
      <c r="A16" s="50" t="s">
        <v>26</v>
      </c>
      <c r="D16" s="51" t="s">
        <v>26</v>
      </c>
      <c r="E16" s="141"/>
      <c r="G16" s="151" t="s">
        <v>26</v>
      </c>
      <c r="H16" s="152"/>
      <c r="J16" s="51" t="s">
        <v>27</v>
      </c>
      <c r="K16" s="51" t="s">
        <v>28</v>
      </c>
    </row>
    <row r="17" spans="1:11" x14ac:dyDescent="0.3">
      <c r="A17" s="133" t="s">
        <v>29</v>
      </c>
      <c r="B17" s="134" cm="1">
        <f t="array" ref="B17">IF(AND($A$5="All",$C$5="All"),COUNT(IF('Current YTD Data Table'!$E$2:$E$597="HHS",1)),"-")</f>
        <v>23</v>
      </c>
      <c r="D17" s="142" t="s">
        <v>29</v>
      </c>
      <c r="E17" s="143" cm="1">
        <f t="array" ref="E17">IF(AND($A$5="All",$C$5="All"),COUNT(IF('Prior Year Data Table'!$E$2:$E$593="HHS",1)),"-")</f>
        <v>20</v>
      </c>
      <c r="G17" s="154" t="s">
        <v>29</v>
      </c>
      <c r="H17" s="155" cm="1">
        <f t="array" ref="H17">IF(AND($A$5="All",$C$5="All"),COUNT(IF('Prior YTD Data Table'!$E$2:$E$607="HHS",1)),"-")</f>
        <v>23</v>
      </c>
      <c r="J17" s="51" t="s">
        <v>30</v>
      </c>
      <c r="K17" s="51" t="s">
        <v>31</v>
      </c>
    </row>
    <row r="18" spans="1:11" x14ac:dyDescent="0.3">
      <c r="A18" s="138" t="s">
        <v>18</v>
      </c>
      <c r="B18" s="135" cm="1">
        <f t="array" ref="B18">IF(AND($A$5="All",$C$5="All"),MEDIAN(IF('Current YTD Data Table'!$E$2:$E$597="HHS",'Current YTD Data Table'!$T$2:$T$597)),"-")</f>
        <v>1.9951935657374111E-2</v>
      </c>
      <c r="C18" s="53"/>
      <c r="D18" s="144" t="s">
        <v>18</v>
      </c>
      <c r="E18" s="145" cm="1">
        <f t="array" ref="E18">IF(AND($A$5="All",$C$5="All"),MEDIAN(IF('Prior Year Data Table'!$E$2:$E$593="HHS",'Prior Year Data Table'!$M$2:$M$593)),"-")</f>
        <v>4.2542149173310895E-2</v>
      </c>
      <c r="G18" s="157" t="s">
        <v>18</v>
      </c>
      <c r="H18" s="158" cm="1">
        <f t="array" ref="H18">IF(AND($A$5="All",$C$5="All"),MEDIAN(IF('Prior YTD Data Table'!$E$2:$E$607="HHS",'Prior YTD Data Table'!$M$2:$M$607)),"-")</f>
        <v>1.5806384678041904E-2</v>
      </c>
      <c r="K18" s="51" t="s">
        <v>32</v>
      </c>
    </row>
    <row r="19" spans="1:11" x14ac:dyDescent="0.3">
      <c r="A19" s="133" t="s">
        <v>19</v>
      </c>
      <c r="B19" s="136" cm="1">
        <f t="array" ref="B19">IF(AND($A$5="All",$C$5="All"),MEDIAN(IF('Current YTD Data Table'!$E$2:$E$597="HHS",'Current YTD Data Table'!$R$2:$R$597)),"-")</f>
        <v>-2.0840089916086858E-2</v>
      </c>
      <c r="D19" s="142" t="s">
        <v>19</v>
      </c>
      <c r="E19" s="148" cm="1">
        <f t="array" ref="E19">IF(AND($A$5="All",$C$5="All"),MEDIAN(IF('Prior Year Data Table'!$E$2:$E$593="HHS",'Prior Year Data Table'!$K$2:$K$593)),"-")</f>
        <v>1.8041223536732346E-3</v>
      </c>
      <c r="G19" s="154" t="s">
        <v>19</v>
      </c>
      <c r="H19" s="156" cm="1">
        <f t="array" ref="H19">IF(AND($A$5="All",$C$5="All"),MEDIAN(IF('Prior YTD Data Table'!$E$2:$E$607="HHS",'Prior YTD Data Table'!$K$2:$K$607)),"-")</f>
        <v>-1.0403583571622639E-2</v>
      </c>
      <c r="K19" s="51" t="s">
        <v>33</v>
      </c>
    </row>
    <row r="20" spans="1:11" x14ac:dyDescent="0.3">
      <c r="A20" s="138" t="s">
        <v>20</v>
      </c>
      <c r="B20" s="135" cm="1">
        <f t="array" ref="B20">IF(AND($A$5="All",$C$5="All"),MEDIAN(IF('Current YTD Data Table'!$E$2:$E$597="HHS",'Current YTD Data Table'!$S$2:$S$597)),"-")</f>
        <v>1.5483881822984883E-2</v>
      </c>
      <c r="D20" s="144" t="s">
        <v>20</v>
      </c>
      <c r="E20" s="145" cm="1">
        <f t="array" ref="E20">IF(AND($A$5="All",$C$5="All"),MEDIAN(IF('Prior Year Data Table'!$E$2:$E$593="HHS",'Prior Year Data Table'!$L$2:$L$593)),"-")</f>
        <v>4.2205950011681689E-2</v>
      </c>
      <c r="G20" s="157" t="s">
        <v>20</v>
      </c>
      <c r="H20" s="158" cm="1">
        <f t="array" ref="H20">IF(AND($A$5="All",$C$5="All"),MEDIAN(IF('Prior YTD Data Table'!$E$2:$E$607="HHS",'Prior YTD Data Table'!$L$2:$L$607)),"-")</f>
        <v>5.5855985278373509E-3</v>
      </c>
      <c r="K20" s="51" t="s">
        <v>34</v>
      </c>
    </row>
    <row r="21" spans="1:11" x14ac:dyDescent="0.3">
      <c r="A21" s="133" t="s">
        <v>663</v>
      </c>
      <c r="B21" s="134" cm="1">
        <f t="array" ref="B21">IF(AND($A$5="All",$C$5="All"),COUNT(IF('Current YTD Data Table'!$E$2:$E$597="HHS",IF('Current YTD Data Table'!$P$2:$P$597&gt;0,1))),"-")</f>
        <v>15</v>
      </c>
      <c r="D21" s="142" t="s">
        <v>663</v>
      </c>
      <c r="E21" s="143" cm="1">
        <f t="array" ref="E21">IF(AND($A$5="All",$C$5="All"),COUNT(IF('Prior Year Data Table'!$E$2:$E$593="HHS",IF('Prior Year Data Table'!$N$2:$N$593&gt;0,1))), "-")</f>
        <v>14</v>
      </c>
      <c r="G21" s="154" t="s">
        <v>663</v>
      </c>
      <c r="H21" s="155" cm="1">
        <f t="array" ref="H21">IF(AND($A$5="All",$C$5="All"),COUNT(IF('Prior YTD Data Table'!$E$2:$E$607="HHS",IF('Prior YTD Data Table'!$N$2:$N$607&gt;0,1))), "-")</f>
        <v>15</v>
      </c>
      <c r="K21" s="51" t="s">
        <v>35</v>
      </c>
    </row>
    <row r="22" spans="1:11" x14ac:dyDescent="0.3">
      <c r="A22" s="138" t="s">
        <v>36</v>
      </c>
      <c r="B22" s="137" cm="1">
        <f t="array" ref="B22">IF(AND($A$5="All",$C$5="All"),COUNT(IF('Current YTD Data Table'!$E$2:$E$597="HHS",IF(('Current YTD Data Table'!$K$2:$K$597-'Current YTD Data Table'!$O$2:$O$597)&gt;0,1))), "-")</f>
        <v>7</v>
      </c>
      <c r="D22" s="144" t="s">
        <v>36</v>
      </c>
      <c r="E22" s="147" cm="1">
        <f t="array" ref="E22">IF(AND($A$5="All",$C$5="All"),COUNT(IF('Prior Year Data Table'!$E$2:$E$593="HHS",IF(('Prior Year Data Table'!$Q$2:$Q$593-'Prior Year Data Table'!$U$2:$U$593)&gt;0,1))), "-")</f>
        <v>11</v>
      </c>
      <c r="G22" s="157" t="s">
        <v>36</v>
      </c>
      <c r="H22" s="159" cm="1">
        <f t="array" ref="H22">IF(AND($A$5="All",$C$5="All"),COUNT(IF('Prior YTD Data Table'!$E$2:$E$607="HHS",IF(('Prior YTD Data Table'!$Q$2:$Q$607-'Prior YTD Data Table'!$Q$2:$Q$593)&gt;0,1))), "-")</f>
        <v>0</v>
      </c>
    </row>
    <row r="23" spans="1:11" x14ac:dyDescent="0.3">
      <c r="G23" s="153"/>
      <c r="H23" s="152"/>
    </row>
    <row r="24" spans="1:11" x14ac:dyDescent="0.3">
      <c r="A24" s="50" t="s">
        <v>37</v>
      </c>
      <c r="D24" s="51" t="s">
        <v>37</v>
      </c>
      <c r="E24" s="141"/>
      <c r="G24" s="151" t="s">
        <v>37</v>
      </c>
      <c r="H24" s="152"/>
    </row>
    <row r="25" spans="1:11" x14ac:dyDescent="0.3">
      <c r="A25" s="133" t="s">
        <v>38</v>
      </c>
      <c r="B25" s="134" cm="1">
        <f t="array" ref="B25">IF(AND($A$5="All",$C$5="All"),COUNT(IF('Current YTD Data Table'!$E$2:$E$597="PhysicianOrganization",1)),"-")</f>
        <v>44</v>
      </c>
      <c r="D25" s="142" t="s">
        <v>38</v>
      </c>
      <c r="E25" s="143" cm="1">
        <f t="array" ref="E25">IF(AND($A$5="All",$C$5="All"),COUNT(IF('Prior Year Data Table'!$E$2:$E$593="PhysicianOrganization",1)),"-")</f>
        <v>42</v>
      </c>
      <c r="G25" s="154" t="s">
        <v>38</v>
      </c>
      <c r="H25" s="155" cm="1">
        <f t="array" ref="H25">IF(AND($A$5="All",$C$5="All"),COUNT(IF('Prior YTD Data Table'!$E$2:$E$607="PhysicianOrganization",1)),"-")</f>
        <v>46</v>
      </c>
    </row>
    <row r="26" spans="1:11" x14ac:dyDescent="0.3">
      <c r="A26" s="138" t="s">
        <v>18</v>
      </c>
      <c r="B26" s="135" cm="1">
        <f t="array" ref="B26">IF(AND($A$5="All",$C$5="All"),MEDIAN(IF('Current YTD Data Table'!$E$2:$E$597="PhysicianOrganization",'Current YTD Data Table'!$T$2:$T$597)),"-")</f>
        <v>-0.32278351489406693</v>
      </c>
      <c r="D26" s="144" t="s">
        <v>18</v>
      </c>
      <c r="E26" s="145" cm="1">
        <f t="array" ref="E26">IF(AND($A$5="All",$C$5="All"),MEDIAN(IF('Prior Year Data Table'!$E$2:$E$593="PhysicianOrganization",'Prior Year Data Table'!$M$2:$M$593)),"-")</f>
        <v>-0.22782014639402831</v>
      </c>
      <c r="G26" s="157" t="s">
        <v>18</v>
      </c>
      <c r="H26" s="158" cm="1">
        <f t="array" ref="H26">IF(AND($A$5="All",$C$5="All"),MEDIAN(IF('Prior YTD Data Table'!$E$2:$E$607="PhysicianOrganization",'Prior YTD Data Table'!$M$2:$M$607)),"-")</f>
        <v>-0.25483306853200544</v>
      </c>
    </row>
    <row r="27" spans="1:11" x14ac:dyDescent="0.3">
      <c r="A27" s="133" t="s">
        <v>19</v>
      </c>
      <c r="B27" s="136" cm="1">
        <f t="array" ref="B27">IF(AND($A$5="All",$C$5="All"),MEDIAN(IF('Current YTD Data Table'!$E$2:$E$597="PhysicianOrganization",'Current YTD Data Table'!$R$2:$R$597)),"-")</f>
        <v>-0.32278351489406693</v>
      </c>
      <c r="D27" s="142" t="s">
        <v>19</v>
      </c>
      <c r="E27" s="148" cm="1">
        <f t="array" ref="E27">IF(AND($A$5="All",$C$5="All"),MEDIAN(IF('Prior Year Data Table'!$E$2:$E$593="PhysicianOrganization",'Prior Year Data Table'!$K$2:$K$593)),"-")</f>
        <v>-0.22782014639402831</v>
      </c>
      <c r="G27" s="154" t="s">
        <v>19</v>
      </c>
      <c r="H27" s="156" cm="1">
        <f t="array" ref="H27">IF(AND($A$5="All",$C$5="All"),MEDIAN(IF('Prior YTD Data Table'!$E$2:$E$607="PhysicianOrganization",'Prior YTD Data Table'!$K$2:$K$607)),"-")</f>
        <v>-0.25424659579232467</v>
      </c>
    </row>
    <row r="28" spans="1:11" x14ac:dyDescent="0.3">
      <c r="A28" s="138" t="s">
        <v>20</v>
      </c>
      <c r="B28" s="135" cm="1">
        <f t="array" ref="B28">IF(AND($A$5="All",$C$5="All"),MEDIAN(IF('Current YTD Data Table'!$E$2:$E$597="PhysicianOrganization",'Current YTD Data Table'!$S$2:$S$597)),"-")</f>
        <v>0</v>
      </c>
      <c r="D28" s="144" t="s">
        <v>20</v>
      </c>
      <c r="E28" s="145" cm="1">
        <f t="array" ref="E28">IF(AND($A$5="All",$C$5="All"),MEDIAN(IF('Prior Year Data Table'!$E$2:$E$593="PhysicianOrganization",'Prior Year Data Table'!$L$2:$L$593)),"-")</f>
        <v>0</v>
      </c>
      <c r="G28" s="157" t="s">
        <v>20</v>
      </c>
      <c r="H28" s="158" cm="1">
        <f t="array" ref="H28">IF(AND($A$5="All",$C$5="All"),MEDIAN(IF('Prior YTD Data Table'!$E$2:$E$607="PhysicianOrganization",'Prior YTD Data Table'!$L$2:$L$607)),"-")</f>
        <v>0</v>
      </c>
    </row>
    <row r="29" spans="1:11" x14ac:dyDescent="0.3">
      <c r="A29" s="133" t="s">
        <v>664</v>
      </c>
      <c r="B29" s="134" cm="1">
        <f t="array" ref="B29">IF(AND($A$5="All",$C$5="All"),COUNT(IF('Current YTD Data Table'!$E$2:$E$597="PhysicianOrganization",IF('Current YTD Data Table'!$P$2:$P$597&gt;0,1))),"-")</f>
        <v>5</v>
      </c>
      <c r="D29" s="142" t="s">
        <v>664</v>
      </c>
      <c r="E29" s="143" cm="1">
        <f t="array" ref="E29">IF(AND($A$5="All",$C$5="All"),COUNT(IF('Prior Year Data Table'!$E$2:$E$593="PhysicianOrganization",IF('Prior Year Data Table'!$N$2:$N$593&gt;0,1))),"-")</f>
        <v>6</v>
      </c>
      <c r="G29" s="154" t="s">
        <v>664</v>
      </c>
      <c r="H29" s="155" cm="1">
        <f t="array" ref="H29">IF(AND($A$5="All",$C$5="All"),COUNT(IF('Prior YTD Data Table'!$E$2:$E$607="PhysicianOrganization",IF('Prior YTD Data Table'!$N$2:$N$607&gt;0,1))),"-")</f>
        <v>6</v>
      </c>
      <c r="K29" s="52"/>
    </row>
    <row r="30" spans="1:11" x14ac:dyDescent="0.3">
      <c r="A30" s="138" t="s">
        <v>39</v>
      </c>
      <c r="B30" s="137" cm="1">
        <f t="array" ref="B30">IF(AND($A$5="All",$C$5="All"),COUNT(IF('Current YTD Data Table'!$E$2:$E$597="PhysicianOrganization",IF(('Current YTD Data Table'!$K$2:$K$597-'Current YTD Data Table'!$O$2:$O$597)&gt;0,1))),"-")</f>
        <v>4</v>
      </c>
      <c r="D30" s="144" t="s">
        <v>39</v>
      </c>
      <c r="E30" s="147" cm="1">
        <f t="array" ref="E30">IF(AND($A$5="All",$C$5="All"),COUNT(IF('Prior Year Data Table'!$E$2:$E$593="PhysicianOrganization",IF(('Prior Year Data Table'!$Q$2:$Q$593-'Prior Year Data Table'!$U$2:$U$593)&gt;0,1))),"-")</f>
        <v>6</v>
      </c>
      <c r="G30" s="157" t="s">
        <v>39</v>
      </c>
      <c r="H30" s="159" cm="1">
        <f t="array" ref="H30">IF(AND($A$5="All",$C$5="All"),COUNT(IF('Prior YTD Data Table'!$E$2:$E$607="PhysicianOrganization",IF(('Prior YTD Data Table'!$Q$2:$Q$607-'Prior YTD Data Table'!$Q$2:$Q$593)&gt;0,1))),"-")</f>
        <v>0</v>
      </c>
      <c r="K30" s="52"/>
    </row>
    <row r="31" spans="1:11" x14ac:dyDescent="0.3">
      <c r="K31" s="52"/>
    </row>
    <row r="32" spans="1:11" x14ac:dyDescent="0.3">
      <c r="K32" s="52"/>
    </row>
    <row r="33" spans="1:11" s="80" customFormat="1" ht="11.4" x14ac:dyDescent="0.3">
      <c r="A33" s="271" t="s">
        <v>720</v>
      </c>
      <c r="B33" s="271"/>
      <c r="D33" s="271" t="s">
        <v>40</v>
      </c>
      <c r="E33" s="271"/>
      <c r="G33" s="271" t="s">
        <v>41</v>
      </c>
      <c r="H33" s="271"/>
      <c r="K33" s="82"/>
    </row>
    <row r="34" spans="1:11" s="80" customFormat="1" ht="11.4" x14ac:dyDescent="0.3">
      <c r="A34" s="271" t="s">
        <v>42</v>
      </c>
      <c r="B34" s="271"/>
      <c r="D34" s="271" t="s">
        <v>43</v>
      </c>
      <c r="E34" s="271"/>
      <c r="G34" s="80" t="s">
        <v>686</v>
      </c>
      <c r="H34" s="81"/>
      <c r="K34" s="82"/>
    </row>
    <row r="35" spans="1:11" x14ac:dyDescent="0.3">
      <c r="K35" s="52"/>
    </row>
    <row r="36" spans="1:11" x14ac:dyDescent="0.3">
      <c r="K36" s="52"/>
    </row>
    <row r="37" spans="1:11" x14ac:dyDescent="0.3">
      <c r="K37" s="52"/>
    </row>
    <row r="38" spans="1:11" x14ac:dyDescent="0.3">
      <c r="K38" s="52"/>
    </row>
    <row r="39" spans="1:11" x14ac:dyDescent="0.3">
      <c r="K39" s="52"/>
    </row>
    <row r="40" spans="1:11" x14ac:dyDescent="0.3">
      <c r="K40" s="52"/>
    </row>
    <row r="41" spans="1:11" x14ac:dyDescent="0.3">
      <c r="K41" s="52"/>
    </row>
    <row r="42" spans="1:11" x14ac:dyDescent="0.3">
      <c r="K42" s="52"/>
    </row>
    <row r="43" spans="1:11" x14ac:dyDescent="0.3">
      <c r="K43" s="52"/>
    </row>
    <row r="44" spans="1:11" x14ac:dyDescent="0.3">
      <c r="K44" s="52"/>
    </row>
    <row r="45" spans="1:11" x14ac:dyDescent="0.3">
      <c r="K45" s="52"/>
    </row>
    <row r="46" spans="1:11" x14ac:dyDescent="0.3">
      <c r="K46" s="52"/>
    </row>
    <row r="47" spans="1:11" x14ac:dyDescent="0.3">
      <c r="K47" s="52"/>
    </row>
    <row r="48" spans="1:11" x14ac:dyDescent="0.3">
      <c r="K48" s="52"/>
    </row>
    <row r="49" spans="11:11" x14ac:dyDescent="0.3">
      <c r="K49" s="52"/>
    </row>
    <row r="50" spans="11:11" x14ac:dyDescent="0.3">
      <c r="K50" s="52"/>
    </row>
    <row r="51" spans="11:11" x14ac:dyDescent="0.3">
      <c r="K51" s="52"/>
    </row>
    <row r="52" spans="11:11" x14ac:dyDescent="0.3">
      <c r="K52" s="52"/>
    </row>
    <row r="53" spans="11:11" x14ac:dyDescent="0.3">
      <c r="K53" s="52"/>
    </row>
    <row r="54" spans="11:11" x14ac:dyDescent="0.3">
      <c r="K54" s="52"/>
    </row>
    <row r="55" spans="11:11" x14ac:dyDescent="0.3">
      <c r="K55" s="52"/>
    </row>
    <row r="56" spans="11:11" x14ac:dyDescent="0.3">
      <c r="K56" s="52"/>
    </row>
    <row r="57" spans="11:11" x14ac:dyDescent="0.3">
      <c r="K57" s="52"/>
    </row>
    <row r="58" spans="11:11" x14ac:dyDescent="0.3">
      <c r="K58" s="52"/>
    </row>
    <row r="59" spans="11:11" x14ac:dyDescent="0.3">
      <c r="K59" s="52"/>
    </row>
    <row r="60" spans="11:11" x14ac:dyDescent="0.3">
      <c r="K60" s="52"/>
    </row>
    <row r="61" spans="11:11" x14ac:dyDescent="0.3">
      <c r="K61" s="52"/>
    </row>
    <row r="62" spans="11:11" x14ac:dyDescent="0.3">
      <c r="K62" s="52"/>
    </row>
    <row r="63" spans="11:11" x14ac:dyDescent="0.3">
      <c r="K63" s="52"/>
    </row>
    <row r="64" spans="11:11" x14ac:dyDescent="0.3">
      <c r="K64" s="52"/>
    </row>
    <row r="65" spans="10:11" x14ac:dyDescent="0.3">
      <c r="K65" s="52"/>
    </row>
    <row r="66" spans="10:11" x14ac:dyDescent="0.3">
      <c r="K66" s="52"/>
    </row>
    <row r="67" spans="10:11" x14ac:dyDescent="0.3">
      <c r="K67" s="52"/>
    </row>
    <row r="68" spans="10:11" x14ac:dyDescent="0.3">
      <c r="K68" s="52"/>
    </row>
    <row r="69" spans="10:11" x14ac:dyDescent="0.3">
      <c r="K69" s="52"/>
    </row>
    <row r="70" spans="10:11" x14ac:dyDescent="0.3">
      <c r="J70" s="52"/>
      <c r="K70" s="52"/>
    </row>
    <row r="71" spans="10:11" x14ac:dyDescent="0.3">
      <c r="J71" s="52"/>
      <c r="K71" s="52"/>
    </row>
    <row r="72" spans="10:11" x14ac:dyDescent="0.3">
      <c r="J72" s="52"/>
      <c r="K72" s="52"/>
    </row>
    <row r="73" spans="10:11" x14ac:dyDescent="0.3">
      <c r="J73" s="52"/>
      <c r="K73" s="52"/>
    </row>
    <row r="74" spans="10:11" x14ac:dyDescent="0.3">
      <c r="J74" s="52"/>
      <c r="K74" s="52"/>
    </row>
    <row r="75" spans="10:11" x14ac:dyDescent="0.3">
      <c r="J75" s="52"/>
      <c r="K75" s="52"/>
    </row>
    <row r="76" spans="10:11" x14ac:dyDescent="0.3">
      <c r="J76" s="52"/>
      <c r="K76" s="52"/>
    </row>
    <row r="77" spans="10:11" x14ac:dyDescent="0.3">
      <c r="J77" s="52"/>
      <c r="K77" s="52"/>
    </row>
    <row r="78" spans="10:11" x14ac:dyDescent="0.3">
      <c r="J78" s="52"/>
      <c r="K78" s="52"/>
    </row>
    <row r="79" spans="10:11" x14ac:dyDescent="0.3">
      <c r="J79" s="52"/>
      <c r="K79" s="52"/>
    </row>
    <row r="80" spans="10:11" x14ac:dyDescent="0.3">
      <c r="J80" s="52"/>
      <c r="K80" s="52"/>
    </row>
    <row r="81" spans="10:11" x14ac:dyDescent="0.3">
      <c r="J81" s="52"/>
      <c r="K81" s="52"/>
    </row>
    <row r="82" spans="10:11" x14ac:dyDescent="0.3">
      <c r="J82" s="52"/>
      <c r="K82" s="52"/>
    </row>
    <row r="83" spans="10:11" x14ac:dyDescent="0.3">
      <c r="J83" s="52"/>
      <c r="K83" s="52"/>
    </row>
    <row r="84" spans="10:11" x14ac:dyDescent="0.3">
      <c r="J84" s="52"/>
      <c r="K84" s="52"/>
    </row>
    <row r="85" spans="10:11" x14ac:dyDescent="0.3">
      <c r="J85" s="52"/>
      <c r="K85" s="52"/>
    </row>
    <row r="86" spans="10:11" x14ac:dyDescent="0.3">
      <c r="J86" s="52"/>
      <c r="K86" s="52"/>
    </row>
    <row r="87" spans="10:11" x14ac:dyDescent="0.3">
      <c r="J87" s="52"/>
      <c r="K87" s="52"/>
    </row>
    <row r="88" spans="10:11" x14ac:dyDescent="0.3">
      <c r="J88" s="52"/>
      <c r="K88" s="52"/>
    </row>
    <row r="89" spans="10:11" x14ac:dyDescent="0.3">
      <c r="J89" s="52"/>
      <c r="K89" s="52"/>
    </row>
    <row r="90" spans="10:11" x14ac:dyDescent="0.3">
      <c r="J90" s="52"/>
      <c r="K90" s="52"/>
    </row>
    <row r="91" spans="10:11" x14ac:dyDescent="0.3">
      <c r="J91" s="52"/>
      <c r="K91" s="52"/>
    </row>
    <row r="92" spans="10:11" x14ac:dyDescent="0.3">
      <c r="J92" s="52"/>
      <c r="K92" s="52"/>
    </row>
    <row r="93" spans="10:11" x14ac:dyDescent="0.3">
      <c r="J93" s="52"/>
      <c r="K93" s="52"/>
    </row>
    <row r="94" spans="10:11" x14ac:dyDescent="0.3">
      <c r="J94" s="52"/>
      <c r="K94" s="52"/>
    </row>
    <row r="95" spans="10:11" x14ac:dyDescent="0.3">
      <c r="J95" s="52"/>
      <c r="K95" s="52"/>
    </row>
    <row r="96" spans="10:11" x14ac:dyDescent="0.3">
      <c r="J96" s="52"/>
      <c r="K96" s="52"/>
    </row>
    <row r="97" spans="10:11" x14ac:dyDescent="0.3">
      <c r="J97" s="52"/>
      <c r="K97" s="52"/>
    </row>
    <row r="98" spans="10:11" x14ac:dyDescent="0.3">
      <c r="J98" s="52"/>
      <c r="K98" s="52"/>
    </row>
    <row r="99" spans="10:11" x14ac:dyDescent="0.3">
      <c r="J99" s="52"/>
      <c r="K99" s="52"/>
    </row>
    <row r="100" spans="10:11" x14ac:dyDescent="0.3">
      <c r="J100" s="52"/>
      <c r="K100" s="52"/>
    </row>
    <row r="101" spans="10:11" x14ac:dyDescent="0.3">
      <c r="J101" s="52"/>
      <c r="K101" s="52"/>
    </row>
    <row r="102" spans="10:11" x14ac:dyDescent="0.3">
      <c r="J102" s="52"/>
      <c r="K102" s="52"/>
    </row>
    <row r="103" spans="10:11" x14ac:dyDescent="0.3">
      <c r="J103" s="52"/>
      <c r="K103" s="52"/>
    </row>
    <row r="104" spans="10:11" x14ac:dyDescent="0.3">
      <c r="J104" s="52"/>
      <c r="K104" s="52"/>
    </row>
    <row r="105" spans="10:11" x14ac:dyDescent="0.3">
      <c r="J105" s="52"/>
      <c r="K105" s="52"/>
    </row>
    <row r="106" spans="10:11" x14ac:dyDescent="0.3">
      <c r="J106" s="52"/>
      <c r="K106" s="52"/>
    </row>
    <row r="107" spans="10:11" x14ac:dyDescent="0.3">
      <c r="J107" s="52"/>
      <c r="K107" s="52"/>
    </row>
    <row r="108" spans="10:11" x14ac:dyDescent="0.3">
      <c r="J108" s="52"/>
      <c r="K108" s="52"/>
    </row>
    <row r="109" spans="10:11" x14ac:dyDescent="0.3">
      <c r="J109" s="52"/>
      <c r="K109" s="52"/>
    </row>
    <row r="110" spans="10:11" x14ac:dyDescent="0.3">
      <c r="J110" s="52"/>
      <c r="K110" s="52"/>
    </row>
    <row r="111" spans="10:11" x14ac:dyDescent="0.3">
      <c r="J111" s="52"/>
      <c r="K111" s="52"/>
    </row>
    <row r="112" spans="10:11" x14ac:dyDescent="0.3">
      <c r="J112" s="52"/>
      <c r="K112" s="52"/>
    </row>
    <row r="113" spans="10:11" x14ac:dyDescent="0.3">
      <c r="J113" s="52"/>
      <c r="K113" s="52"/>
    </row>
    <row r="114" spans="10:11" x14ac:dyDescent="0.3">
      <c r="J114" s="52"/>
      <c r="K114" s="52"/>
    </row>
    <row r="115" spans="10:11" x14ac:dyDescent="0.3">
      <c r="J115" s="52"/>
      <c r="K115" s="52"/>
    </row>
    <row r="116" spans="10:11" x14ac:dyDescent="0.3">
      <c r="J116" s="52"/>
      <c r="K116" s="52"/>
    </row>
    <row r="117" spans="10:11" x14ac:dyDescent="0.3">
      <c r="J117" s="52"/>
      <c r="K117" s="52"/>
    </row>
    <row r="118" spans="10:11" x14ac:dyDescent="0.3">
      <c r="J118" s="52"/>
      <c r="K118" s="52"/>
    </row>
    <row r="119" spans="10:11" x14ac:dyDescent="0.3">
      <c r="J119" s="52"/>
      <c r="K119" s="52"/>
    </row>
    <row r="120" spans="10:11" x14ac:dyDescent="0.3">
      <c r="J120" s="52"/>
      <c r="K120" s="52"/>
    </row>
    <row r="121" spans="10:11" x14ac:dyDescent="0.3">
      <c r="J121" s="52"/>
      <c r="K121" s="52"/>
    </row>
    <row r="122" spans="10:11" x14ac:dyDescent="0.3">
      <c r="J122" s="52"/>
      <c r="K122" s="52"/>
    </row>
    <row r="123" spans="10:11" x14ac:dyDescent="0.3">
      <c r="J123" s="52"/>
      <c r="K123" s="52"/>
    </row>
    <row r="124" spans="10:11" x14ac:dyDescent="0.3">
      <c r="J124" s="52"/>
      <c r="K124" s="52"/>
    </row>
    <row r="125" spans="10:11" x14ac:dyDescent="0.3">
      <c r="J125" s="52"/>
      <c r="K125" s="52"/>
    </row>
    <row r="126" spans="10:11" x14ac:dyDescent="0.3">
      <c r="J126" s="52"/>
      <c r="K126" s="52"/>
    </row>
    <row r="127" spans="10:11" x14ac:dyDescent="0.3">
      <c r="J127" s="52"/>
      <c r="K127" s="52"/>
    </row>
    <row r="128" spans="10:11" x14ac:dyDescent="0.3">
      <c r="J128" s="52"/>
      <c r="K128" s="52"/>
    </row>
    <row r="129" spans="9:11" x14ac:dyDescent="0.3">
      <c r="J129" s="52"/>
      <c r="K129" s="52"/>
    </row>
    <row r="130" spans="9:11" x14ac:dyDescent="0.3">
      <c r="J130" s="52"/>
      <c r="K130" s="52"/>
    </row>
    <row r="131" spans="9:11" x14ac:dyDescent="0.3">
      <c r="J131" s="52"/>
      <c r="K131" s="52"/>
    </row>
    <row r="132" spans="9:11" x14ac:dyDescent="0.3">
      <c r="J132" s="52"/>
      <c r="K132" s="52"/>
    </row>
    <row r="133" spans="9:11" x14ac:dyDescent="0.3">
      <c r="I133" s="52"/>
      <c r="J133" s="52"/>
      <c r="K133" s="52"/>
    </row>
    <row r="134" spans="9:11" x14ac:dyDescent="0.3">
      <c r="I134" s="52"/>
      <c r="K134" s="52"/>
    </row>
    <row r="135" spans="9:11" x14ac:dyDescent="0.3">
      <c r="I135" s="52"/>
      <c r="J135" s="52"/>
      <c r="K135" s="52"/>
    </row>
    <row r="136" spans="9:11" x14ac:dyDescent="0.3">
      <c r="I136" s="52"/>
      <c r="K136" s="52"/>
    </row>
    <row r="137" spans="9:11" x14ac:dyDescent="0.3">
      <c r="I137" s="52"/>
      <c r="J137" s="52"/>
      <c r="K137" s="52"/>
    </row>
    <row r="138" spans="9:11" x14ac:dyDescent="0.3">
      <c r="I138" s="52"/>
      <c r="J138" s="52"/>
      <c r="K138" s="52"/>
    </row>
    <row r="139" spans="9:11" x14ac:dyDescent="0.3">
      <c r="I139" s="52"/>
      <c r="J139" s="52"/>
      <c r="K139" s="52"/>
    </row>
    <row r="140" spans="9:11" x14ac:dyDescent="0.3">
      <c r="I140" s="52"/>
      <c r="J140" s="52"/>
      <c r="K140" s="52"/>
    </row>
    <row r="141" spans="9:11" x14ac:dyDescent="0.3">
      <c r="I141" s="52"/>
      <c r="J141" s="52"/>
      <c r="K141" s="52"/>
    </row>
  </sheetData>
  <mergeCells count="10">
    <mergeCell ref="A1:H1"/>
    <mergeCell ref="A33:B33"/>
    <mergeCell ref="D33:E33"/>
    <mergeCell ref="G33:H33"/>
    <mergeCell ref="A34:B34"/>
    <mergeCell ref="D34:E34"/>
    <mergeCell ref="A4:B4"/>
    <mergeCell ref="A5:B5"/>
    <mergeCell ref="C4:D4"/>
    <mergeCell ref="C5:D5"/>
  </mergeCells>
  <dataValidations count="2">
    <dataValidation type="list" allowBlank="1" showInputMessage="1" showErrorMessage="1" sqref="K8 C5" xr:uid="{F7491B2F-8D64-324D-97B6-DA52A51D62F6}">
      <formula1>$K$13:$K$21</formula1>
    </dataValidation>
    <dataValidation type="list" allowBlank="1" showInputMessage="1" showErrorMessage="1" sqref="J8 A5" xr:uid="{DF6680CA-E17F-7340-BCF8-DA0938E8E3D7}">
      <formula1>$J$13:$J$17</formula1>
    </dataValidation>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E8A6D4-BC12-4261-999C-52AE0AD5FD66}">
  <sheetPr codeName="Sheet5"/>
  <dimension ref="A1:AJ130"/>
  <sheetViews>
    <sheetView zoomScaleNormal="100" workbookViewId="0">
      <pane xSplit="3" ySplit="1" topLeftCell="I2" activePane="bottomRight" state="frozen"/>
      <selection pane="topRight" activeCell="D1" sqref="D1"/>
      <selection pane="bottomLeft" activeCell="A2" sqref="A2"/>
      <selection pane="bottomRight"/>
    </sheetView>
  </sheetViews>
  <sheetFormatPr defaultColWidth="8.5546875" defaultRowHeight="30" customHeight="1" x14ac:dyDescent="0.3"/>
  <cols>
    <col min="1" max="1" width="25.5546875" style="254" customWidth="1"/>
    <col min="2" max="2" width="19.44140625" style="86" customWidth="1"/>
    <col min="3" max="3" width="10.44140625" style="86" customWidth="1"/>
    <col min="4" max="4" width="9.5546875" style="86" customWidth="1"/>
    <col min="5" max="5" width="16.44140625" style="86" bestFit="1" customWidth="1"/>
    <col min="6" max="6" width="19.44140625" style="86" bestFit="1" customWidth="1"/>
    <col min="7" max="7" width="21.44140625" style="86" bestFit="1" customWidth="1"/>
    <col min="8" max="8" width="21.44140625" style="86" customWidth="1"/>
    <col min="9" max="9" width="14.5546875" style="86" bestFit="1" customWidth="1"/>
    <col min="10" max="10" width="19.5546875" style="86" bestFit="1" customWidth="1"/>
    <col min="11" max="11" width="15.5546875" style="86" customWidth="1"/>
    <col min="12" max="12" width="14.44140625" style="86" bestFit="1" customWidth="1"/>
    <col min="13" max="14" width="14.44140625" style="86" customWidth="1"/>
    <col min="15" max="15" width="13.44140625" style="86" customWidth="1"/>
    <col min="16" max="17" width="19.44140625" style="190" customWidth="1"/>
    <col min="18" max="18" width="15.44140625" style="86" customWidth="1"/>
    <col min="19" max="19" width="21" style="86" customWidth="1"/>
    <col min="20" max="20" width="12" style="86" customWidth="1"/>
    <col min="21" max="21" width="14.44140625" style="86" customWidth="1"/>
    <col min="22" max="22" width="13" style="86" customWidth="1"/>
    <col min="23" max="24" width="12.44140625" style="86" customWidth="1"/>
    <col min="25" max="25" width="14.5546875" style="190" bestFit="1" customWidth="1"/>
    <col min="26" max="26" width="14.44140625" style="86" customWidth="1"/>
    <col min="27" max="27" width="12.44140625" style="86" customWidth="1"/>
    <col min="28" max="28" width="10.44140625" style="86" customWidth="1"/>
    <col min="29" max="29" width="13.5546875" style="86" customWidth="1"/>
    <col min="30" max="31" width="8.5546875" style="86" customWidth="1"/>
    <col min="32" max="32" width="8.5546875" style="86"/>
    <col min="33" max="36" width="8.5546875" style="86" customWidth="1"/>
    <col min="37" max="16329" width="8.5546875" style="86"/>
    <col min="16330" max="16330" width="8.5546875" style="86" bestFit="1"/>
    <col min="16331" max="16384" width="8.5546875" style="86"/>
  </cols>
  <sheetData>
    <row r="1" spans="1:36" s="205" customFormat="1" ht="45" customHeight="1" x14ac:dyDescent="0.3">
      <c r="A1" s="253" t="s">
        <v>44</v>
      </c>
      <c r="B1" s="203" t="s">
        <v>45</v>
      </c>
      <c r="C1" s="203" t="s">
        <v>46</v>
      </c>
      <c r="D1" s="203" t="s">
        <v>47</v>
      </c>
      <c r="E1" s="203" t="s">
        <v>48</v>
      </c>
      <c r="F1" s="206" t="s">
        <v>49</v>
      </c>
      <c r="G1" s="206" t="s">
        <v>50</v>
      </c>
      <c r="H1" s="206" t="s">
        <v>51</v>
      </c>
      <c r="I1" s="206" t="s">
        <v>14</v>
      </c>
      <c r="J1" s="206" t="s">
        <v>52</v>
      </c>
      <c r="K1" s="207" t="s">
        <v>53</v>
      </c>
      <c r="L1" s="207" t="s">
        <v>54</v>
      </c>
      <c r="M1" s="207" t="s">
        <v>55</v>
      </c>
      <c r="N1" s="207" t="s">
        <v>56</v>
      </c>
      <c r="O1" s="229" t="s">
        <v>57</v>
      </c>
      <c r="P1" s="208" t="s">
        <v>58</v>
      </c>
      <c r="Q1" s="208" t="s">
        <v>59</v>
      </c>
      <c r="R1" s="207" t="s">
        <v>60</v>
      </c>
      <c r="S1" s="207" t="s">
        <v>61</v>
      </c>
      <c r="T1" s="207" t="s">
        <v>62</v>
      </c>
      <c r="U1" s="209" t="s">
        <v>63</v>
      </c>
      <c r="V1" s="209" t="s">
        <v>64</v>
      </c>
      <c r="W1" s="209" t="s">
        <v>65</v>
      </c>
      <c r="X1" s="209" t="s">
        <v>66</v>
      </c>
      <c r="Y1" s="204" t="s">
        <v>67</v>
      </c>
      <c r="Z1" s="210" t="s">
        <v>69</v>
      </c>
      <c r="AA1" s="230" t="s">
        <v>70</v>
      </c>
      <c r="AB1" s="210" t="s">
        <v>71</v>
      </c>
      <c r="AC1" s="210" t="s">
        <v>72</v>
      </c>
    </row>
    <row r="2" spans="1:36" ht="30" customHeight="1" x14ac:dyDescent="0.3">
      <c r="A2" s="191" t="s">
        <v>91</v>
      </c>
      <c r="B2" s="191" t="s">
        <v>90</v>
      </c>
      <c r="C2" s="191">
        <v>1</v>
      </c>
      <c r="D2" s="191">
        <v>16665</v>
      </c>
      <c r="E2" s="191" t="s">
        <v>77</v>
      </c>
      <c r="F2" s="191" t="s">
        <v>24</v>
      </c>
      <c r="G2" s="191" t="s">
        <v>78</v>
      </c>
      <c r="H2" s="191" t="s">
        <v>747</v>
      </c>
      <c r="I2" s="191" t="s">
        <v>33</v>
      </c>
      <c r="J2" s="191" t="s">
        <v>748</v>
      </c>
      <c r="K2" s="192">
        <v>71650000</v>
      </c>
      <c r="L2" s="192">
        <v>72346000</v>
      </c>
      <c r="M2" s="192">
        <v>37565028.07</v>
      </c>
      <c r="N2" s="192">
        <v>1127971.9300000002</v>
      </c>
      <c r="O2" s="192">
        <v>77059000</v>
      </c>
      <c r="P2" s="193">
        <v>-4713000</v>
      </c>
      <c r="Q2" s="193">
        <v>-5409000</v>
      </c>
      <c r="R2" s="194">
        <v>-7.4765709230641644E-2</v>
      </c>
      <c r="S2" s="194">
        <v>9.6204351311751854E-3</v>
      </c>
      <c r="T2" s="194">
        <v>-6.5145274099466452E-2</v>
      </c>
      <c r="U2" s="195">
        <v>21.602131075534285</v>
      </c>
      <c r="V2" s="195">
        <v>181.53222516826432</v>
      </c>
      <c r="W2" s="196">
        <v>0.45249977548847292</v>
      </c>
      <c r="X2" s="195">
        <v>49.77340403834387</v>
      </c>
      <c r="Y2" s="193">
        <v>-9098000</v>
      </c>
      <c r="Z2" s="194">
        <v>-2.0319975793793379E-2</v>
      </c>
      <c r="AA2" s="196">
        <v>-1.4968268359020853</v>
      </c>
      <c r="AB2" s="194">
        <v>-8.3283748775642846E-2</v>
      </c>
      <c r="AC2" s="194">
        <v>-21.229770992366412</v>
      </c>
    </row>
    <row r="3" spans="1:36" ht="30" customHeight="1" x14ac:dyDescent="0.3">
      <c r="A3" s="255" t="s">
        <v>135</v>
      </c>
      <c r="B3" s="255" t="s">
        <v>134</v>
      </c>
      <c r="C3" s="255">
        <v>2</v>
      </c>
      <c r="D3" s="255">
        <v>12807</v>
      </c>
      <c r="E3" s="255" t="s">
        <v>77</v>
      </c>
      <c r="F3" s="255" t="s">
        <v>24</v>
      </c>
      <c r="G3" s="255" t="s">
        <v>78</v>
      </c>
      <c r="H3" s="255" t="s">
        <v>747</v>
      </c>
      <c r="I3" s="255" t="s">
        <v>25</v>
      </c>
      <c r="J3" s="255" t="s">
        <v>748</v>
      </c>
      <c r="K3" s="256">
        <v>22952983</v>
      </c>
      <c r="L3" s="256">
        <v>22973853</v>
      </c>
      <c r="M3" s="256">
        <v>7745648</v>
      </c>
      <c r="N3" s="256">
        <v>419482.55000000005</v>
      </c>
      <c r="O3" s="256">
        <v>21719605</v>
      </c>
      <c r="P3" s="257">
        <v>1254248</v>
      </c>
      <c r="Q3" s="257">
        <v>1233378</v>
      </c>
      <c r="R3" s="258">
        <v>5.3686162264553534E-2</v>
      </c>
      <c r="S3" s="258">
        <v>9.0842402447686944E-4</v>
      </c>
      <c r="T3" s="258">
        <v>5.4594586289030404E-2</v>
      </c>
      <c r="U3" s="259">
        <v>57.791272912107218</v>
      </c>
      <c r="V3" s="259">
        <v>97.489709658822292</v>
      </c>
      <c r="W3" s="260">
        <v>0.75691541220702974</v>
      </c>
      <c r="X3" s="259">
        <v>27.351950840424404</v>
      </c>
      <c r="Y3" s="257">
        <v>19185887</v>
      </c>
      <c r="Z3" s="258">
        <v>0.10847559564130807</v>
      </c>
      <c r="AA3" s="260">
        <v>0</v>
      </c>
      <c r="AB3" s="258">
        <v>0.56870225093119386</v>
      </c>
      <c r="AC3" s="258">
        <v>0</v>
      </c>
      <c r="AD3" s="262"/>
      <c r="AE3" s="263"/>
      <c r="AF3" s="263"/>
      <c r="AG3" s="263"/>
      <c r="AH3" s="263"/>
      <c r="AI3" s="263"/>
      <c r="AJ3" s="263"/>
    </row>
    <row r="4" spans="1:36" ht="30" customHeight="1" x14ac:dyDescent="0.3">
      <c r="A4" s="191" t="s">
        <v>79</v>
      </c>
      <c r="B4" s="191" t="s">
        <v>74</v>
      </c>
      <c r="C4" s="191">
        <v>4</v>
      </c>
      <c r="D4" s="191">
        <v>4066</v>
      </c>
      <c r="E4" s="191" t="s">
        <v>77</v>
      </c>
      <c r="F4" s="191" t="s">
        <v>30</v>
      </c>
      <c r="G4" s="191" t="s">
        <v>78</v>
      </c>
      <c r="H4" s="191" t="s">
        <v>78</v>
      </c>
      <c r="I4" s="191" t="s">
        <v>35</v>
      </c>
      <c r="J4" s="191" t="s">
        <v>748</v>
      </c>
      <c r="K4" s="192">
        <v>1001777000</v>
      </c>
      <c r="L4" s="192">
        <v>1010751000</v>
      </c>
      <c r="M4" s="192">
        <v>347547000</v>
      </c>
      <c r="N4" s="192" t="s">
        <v>747</v>
      </c>
      <c r="O4" s="192">
        <v>993052000</v>
      </c>
      <c r="P4" s="193">
        <v>17699000</v>
      </c>
      <c r="Q4" s="193">
        <v>8725000</v>
      </c>
      <c r="R4" s="194">
        <v>8.6321952686665652E-3</v>
      </c>
      <c r="S4" s="194">
        <v>8.8785467439557314E-3</v>
      </c>
      <c r="T4" s="194">
        <v>1.7510742012622298E-2</v>
      </c>
      <c r="U4" s="195">
        <v>37.568850187624221</v>
      </c>
      <c r="V4" s="195">
        <v>34.536305992939198</v>
      </c>
      <c r="W4" s="196">
        <v>2.7697616522981883</v>
      </c>
      <c r="X4" s="195">
        <v>42.814005791395317</v>
      </c>
      <c r="Y4" s="193">
        <v>988981000</v>
      </c>
      <c r="Z4" s="194">
        <v>8.1401285478290786E-2</v>
      </c>
      <c r="AA4" s="196">
        <v>1.7350881288665811</v>
      </c>
      <c r="AB4" s="194">
        <v>0.58685920449083495</v>
      </c>
      <c r="AC4" s="194">
        <v>0.30805356906961051</v>
      </c>
    </row>
    <row r="5" spans="1:36" ht="30" customHeight="1" x14ac:dyDescent="0.3">
      <c r="A5" s="255" t="s">
        <v>76</v>
      </c>
      <c r="B5" s="255" t="s">
        <v>74</v>
      </c>
      <c r="C5" s="255">
        <v>5</v>
      </c>
      <c r="D5" s="255">
        <v>4066</v>
      </c>
      <c r="E5" s="255" t="s">
        <v>77</v>
      </c>
      <c r="F5" s="255" t="s">
        <v>24</v>
      </c>
      <c r="G5" s="255" t="s">
        <v>78</v>
      </c>
      <c r="H5" s="255" t="s">
        <v>747</v>
      </c>
      <c r="I5" s="255" t="s">
        <v>35</v>
      </c>
      <c r="J5" s="255" t="s">
        <v>748</v>
      </c>
      <c r="K5" s="256">
        <v>76846000</v>
      </c>
      <c r="L5" s="256">
        <v>76851000</v>
      </c>
      <c r="M5" s="256">
        <v>27905000</v>
      </c>
      <c r="N5" s="256" t="s">
        <v>747</v>
      </c>
      <c r="O5" s="256">
        <v>75760000</v>
      </c>
      <c r="P5" s="257">
        <v>1091000</v>
      </c>
      <c r="Q5" s="257">
        <v>1086000</v>
      </c>
      <c r="R5" s="258">
        <v>1.4131240972791505E-2</v>
      </c>
      <c r="S5" s="258">
        <v>6.5060962121507847E-5</v>
      </c>
      <c r="T5" s="258">
        <v>1.4196301934913013E-2</v>
      </c>
      <c r="U5" s="259">
        <v>29.208096118299444</v>
      </c>
      <c r="V5" s="259">
        <v>35.132120468792586</v>
      </c>
      <c r="W5" s="260">
        <v>2.0237780713342142</v>
      </c>
      <c r="X5" s="259">
        <v>51.621286454074678</v>
      </c>
      <c r="Y5" s="257">
        <v>67798000</v>
      </c>
      <c r="Z5" s="258">
        <v>0.10434834370070538</v>
      </c>
      <c r="AA5" s="260">
        <v>3.3113207547169812</v>
      </c>
      <c r="AB5" s="258">
        <v>0.6671192978313063</v>
      </c>
      <c r="AC5" s="258">
        <v>0.24758130505238501</v>
      </c>
      <c r="AD5" s="262"/>
      <c r="AE5" s="263"/>
      <c r="AF5" s="263"/>
      <c r="AG5" s="263"/>
      <c r="AH5" s="263"/>
      <c r="AI5" s="263"/>
      <c r="AJ5" s="263"/>
    </row>
    <row r="6" spans="1:36" ht="30" customHeight="1" x14ac:dyDescent="0.3">
      <c r="A6" s="191" t="s">
        <v>87</v>
      </c>
      <c r="B6" s="191" t="s">
        <v>85</v>
      </c>
      <c r="C6" s="191">
        <v>8</v>
      </c>
      <c r="D6" s="191">
        <v>3106</v>
      </c>
      <c r="E6" s="191" t="s">
        <v>77</v>
      </c>
      <c r="F6" s="191" t="s">
        <v>24</v>
      </c>
      <c r="G6" s="191" t="s">
        <v>78</v>
      </c>
      <c r="H6" s="191" t="s">
        <v>747</v>
      </c>
      <c r="I6" s="191" t="s">
        <v>35</v>
      </c>
      <c r="J6" s="191" t="s">
        <v>748</v>
      </c>
      <c r="K6" s="192">
        <v>46258420</v>
      </c>
      <c r="L6" s="192">
        <v>46259689</v>
      </c>
      <c r="M6" s="192">
        <v>25405965</v>
      </c>
      <c r="N6" s="192">
        <v>757176</v>
      </c>
      <c r="O6" s="192">
        <v>44212598</v>
      </c>
      <c r="P6" s="193">
        <v>2047091</v>
      </c>
      <c r="Q6" s="193">
        <v>2045822</v>
      </c>
      <c r="R6" s="194">
        <v>4.4224724467991992E-2</v>
      </c>
      <c r="S6" s="194">
        <v>2.7432091037187907E-5</v>
      </c>
      <c r="T6" s="194">
        <v>4.4252156559029178E-2</v>
      </c>
      <c r="U6" s="195">
        <v>40.60707196675903</v>
      </c>
      <c r="V6" s="195">
        <v>38.992151522346134</v>
      </c>
      <c r="W6" s="196">
        <v>3.7131146600330105</v>
      </c>
      <c r="X6" s="195">
        <v>245.71372263281452</v>
      </c>
      <c r="Y6" s="193">
        <v>114205685</v>
      </c>
      <c r="Z6" s="194">
        <v>0.31009359925015023</v>
      </c>
      <c r="AA6" s="196">
        <v>25.241416591301487</v>
      </c>
      <c r="AB6" s="194">
        <v>0.83282309050573078</v>
      </c>
      <c r="AC6" s="194">
        <v>1.294397534288684E-2</v>
      </c>
    </row>
    <row r="7" spans="1:36" ht="30" customHeight="1" x14ac:dyDescent="0.3">
      <c r="A7" s="255" t="s">
        <v>143</v>
      </c>
      <c r="B7" s="255" t="s">
        <v>141</v>
      </c>
      <c r="C7" s="255">
        <v>22</v>
      </c>
      <c r="D7" s="255">
        <v>3791</v>
      </c>
      <c r="E7" s="255" t="s">
        <v>77</v>
      </c>
      <c r="F7" s="255" t="s">
        <v>22</v>
      </c>
      <c r="G7" s="255" t="s">
        <v>747</v>
      </c>
      <c r="H7" s="255" t="s">
        <v>78</v>
      </c>
      <c r="I7" s="255" t="s">
        <v>28</v>
      </c>
      <c r="J7" s="255" t="s">
        <v>748</v>
      </c>
      <c r="K7" s="256">
        <v>2435913000</v>
      </c>
      <c r="L7" s="256">
        <v>2488866000</v>
      </c>
      <c r="M7" s="256">
        <v>822046666.72580004</v>
      </c>
      <c r="N7" s="256">
        <v>19102333.2742</v>
      </c>
      <c r="O7" s="256">
        <v>2316847000</v>
      </c>
      <c r="P7" s="257">
        <v>172019000</v>
      </c>
      <c r="Q7" s="257">
        <v>119066000</v>
      </c>
      <c r="R7" s="258">
        <v>4.7839457809299497E-2</v>
      </c>
      <c r="S7" s="258">
        <v>2.1275954591368117E-2</v>
      </c>
      <c r="T7" s="258">
        <v>6.9115412400667611E-2</v>
      </c>
      <c r="U7" s="259">
        <v>54.963160765711756</v>
      </c>
      <c r="V7" s="259">
        <v>83.421382843711598</v>
      </c>
      <c r="W7" s="260">
        <v>1.2472112629580709</v>
      </c>
      <c r="X7" s="259">
        <v>-3.5732324869166234</v>
      </c>
      <c r="Y7" s="257">
        <v>2977805000</v>
      </c>
      <c r="Z7" s="258">
        <v>0.11627825996521565</v>
      </c>
      <c r="AA7" s="260">
        <v>1.6874238695403585</v>
      </c>
      <c r="AB7" s="258">
        <v>0.56333305398154798</v>
      </c>
      <c r="AC7" s="258">
        <v>0.3166155614250058</v>
      </c>
      <c r="AD7" s="262"/>
      <c r="AE7" s="263"/>
      <c r="AF7" s="263"/>
      <c r="AG7" s="263"/>
      <c r="AH7" s="263"/>
      <c r="AI7" s="263"/>
      <c r="AJ7" s="263"/>
    </row>
    <row r="8" spans="1:36" ht="30" customHeight="1" x14ac:dyDescent="0.3">
      <c r="A8" s="191" t="s">
        <v>164</v>
      </c>
      <c r="B8" s="191" t="s">
        <v>163</v>
      </c>
      <c r="C8" s="191">
        <v>25</v>
      </c>
      <c r="D8" s="191">
        <v>9991</v>
      </c>
      <c r="E8" s="191" t="s">
        <v>77</v>
      </c>
      <c r="F8" s="191" t="s">
        <v>24</v>
      </c>
      <c r="G8" s="191" t="s">
        <v>78</v>
      </c>
      <c r="H8" s="191" t="s">
        <v>747</v>
      </c>
      <c r="I8" s="191" t="s">
        <v>31</v>
      </c>
      <c r="J8" s="191" t="s">
        <v>748</v>
      </c>
      <c r="K8" s="192">
        <v>247071099</v>
      </c>
      <c r="L8" s="192">
        <v>261414423</v>
      </c>
      <c r="M8" s="192">
        <v>107736425</v>
      </c>
      <c r="N8" s="192">
        <v>27381064.27</v>
      </c>
      <c r="O8" s="192">
        <v>246470159</v>
      </c>
      <c r="P8" s="193">
        <v>14944264</v>
      </c>
      <c r="Q8" s="193">
        <v>600940</v>
      </c>
      <c r="R8" s="194">
        <v>2.2988020060392767E-3</v>
      </c>
      <c r="S8" s="194">
        <v>5.4868143216413118E-2</v>
      </c>
      <c r="T8" s="194">
        <v>5.7166945222452394E-2</v>
      </c>
      <c r="U8" s="195">
        <v>41.510183690592108</v>
      </c>
      <c r="V8" s="195">
        <v>72.706244904005018</v>
      </c>
      <c r="W8" s="196">
        <v>1.098166246858244</v>
      </c>
      <c r="X8" s="195">
        <v>27.140332108592581</v>
      </c>
      <c r="Y8" s="193">
        <v>250912582</v>
      </c>
      <c r="Z8" s="194">
        <v>0.11405241545990948</v>
      </c>
      <c r="AA8" s="196">
        <v>2.5893640848143074</v>
      </c>
      <c r="AB8" s="194">
        <v>0.52909847393594867</v>
      </c>
      <c r="AC8" s="194">
        <v>0.26463205138370999</v>
      </c>
    </row>
    <row r="9" spans="1:36" ht="30" customHeight="1" x14ac:dyDescent="0.3">
      <c r="A9" s="255" t="s">
        <v>124</v>
      </c>
      <c r="B9" s="255" t="s">
        <v>123</v>
      </c>
      <c r="C9" s="255">
        <v>39</v>
      </c>
      <c r="D9" s="255">
        <v>3109</v>
      </c>
      <c r="E9" s="255" t="s">
        <v>77</v>
      </c>
      <c r="F9" s="255" t="s">
        <v>24</v>
      </c>
      <c r="G9" s="255" t="s">
        <v>78</v>
      </c>
      <c r="H9" s="255" t="s">
        <v>747</v>
      </c>
      <c r="I9" s="255" t="s">
        <v>23</v>
      </c>
      <c r="J9" s="255" t="s">
        <v>748</v>
      </c>
      <c r="K9" s="256">
        <v>376484354</v>
      </c>
      <c r="L9" s="256">
        <v>383093511</v>
      </c>
      <c r="M9" s="256">
        <v>177519217.13999999</v>
      </c>
      <c r="N9" s="256">
        <v>13794143.859999999</v>
      </c>
      <c r="O9" s="256">
        <v>368179132</v>
      </c>
      <c r="P9" s="257">
        <v>14914379</v>
      </c>
      <c r="Q9" s="257">
        <v>8305222</v>
      </c>
      <c r="R9" s="258">
        <v>2.1679359638122401E-2</v>
      </c>
      <c r="S9" s="258">
        <v>1.7252072431996897E-2</v>
      </c>
      <c r="T9" s="258">
        <v>3.8931432070119301E-2</v>
      </c>
      <c r="U9" s="259">
        <v>17.511957790289674</v>
      </c>
      <c r="V9" s="259">
        <v>19.289415802185577</v>
      </c>
      <c r="W9" s="260">
        <v>2.036575835474721</v>
      </c>
      <c r="X9" s="259">
        <v>10.081925554159332</v>
      </c>
      <c r="Y9" s="257">
        <v>641346716</v>
      </c>
      <c r="Z9" s="258">
        <v>0.16013189068072881</v>
      </c>
      <c r="AA9" s="260">
        <v>1.9376174871678273</v>
      </c>
      <c r="AB9" s="258">
        <v>0.78146336070990119</v>
      </c>
      <c r="AC9" s="258">
        <v>0.12896934279871206</v>
      </c>
      <c r="AD9" s="262"/>
      <c r="AE9" s="263"/>
      <c r="AF9" s="263"/>
      <c r="AG9" s="263"/>
      <c r="AH9" s="263"/>
      <c r="AI9" s="263"/>
      <c r="AJ9" s="263"/>
    </row>
    <row r="10" spans="1:36" ht="30" customHeight="1" x14ac:dyDescent="0.3">
      <c r="A10" s="191" t="s">
        <v>125</v>
      </c>
      <c r="B10" s="191" t="s">
        <v>123</v>
      </c>
      <c r="C10" s="191">
        <v>40</v>
      </c>
      <c r="D10" s="191">
        <v>3109</v>
      </c>
      <c r="E10" s="191" t="s">
        <v>77</v>
      </c>
      <c r="F10" s="191" t="s">
        <v>24</v>
      </c>
      <c r="G10" s="191" t="s">
        <v>78</v>
      </c>
      <c r="H10" s="191" t="s">
        <v>747</v>
      </c>
      <c r="I10" s="191" t="s">
        <v>23</v>
      </c>
      <c r="J10" s="191" t="s">
        <v>748</v>
      </c>
      <c r="K10" s="192">
        <v>96334673</v>
      </c>
      <c r="L10" s="192">
        <v>102723320</v>
      </c>
      <c r="M10" s="192">
        <v>50822503</v>
      </c>
      <c r="N10" s="192">
        <v>5325997</v>
      </c>
      <c r="O10" s="192">
        <v>100175907</v>
      </c>
      <c r="P10" s="193">
        <v>2547413</v>
      </c>
      <c r="Q10" s="193">
        <v>-3841234</v>
      </c>
      <c r="R10" s="194">
        <v>-3.7393982203846217E-2</v>
      </c>
      <c r="S10" s="194">
        <v>6.2192762071942381E-2</v>
      </c>
      <c r="T10" s="194">
        <v>2.4798779868096164E-2</v>
      </c>
      <c r="U10" s="195">
        <v>34.344536557626007</v>
      </c>
      <c r="V10" s="195">
        <v>135.94832874854163</v>
      </c>
      <c r="W10" s="196">
        <v>0.364335567377359</v>
      </c>
      <c r="X10" s="195">
        <v>7.5527542488628843</v>
      </c>
      <c r="Y10" s="193">
        <v>290771881</v>
      </c>
      <c r="Z10" s="194">
        <v>7.4042562134853898E-2</v>
      </c>
      <c r="AA10" s="196">
        <v>2.2923558127562886</v>
      </c>
      <c r="AB10" s="194">
        <v>0.77156964146327134</v>
      </c>
      <c r="AC10" s="194">
        <v>3.9270072627826669E-2</v>
      </c>
    </row>
    <row r="11" spans="1:36" ht="30" customHeight="1" x14ac:dyDescent="0.3">
      <c r="A11" s="255" t="s">
        <v>115</v>
      </c>
      <c r="B11" s="255" t="s">
        <v>114</v>
      </c>
      <c r="C11" s="255">
        <v>46</v>
      </c>
      <c r="D11" s="255">
        <v>14286</v>
      </c>
      <c r="E11" s="255" t="s">
        <v>77</v>
      </c>
      <c r="F11" s="255" t="s">
        <v>99</v>
      </c>
      <c r="G11" s="255" t="s">
        <v>747</v>
      </c>
      <c r="H11" s="255" t="s">
        <v>78</v>
      </c>
      <c r="I11" s="255" t="s">
        <v>28</v>
      </c>
      <c r="J11" s="255" t="s">
        <v>748</v>
      </c>
      <c r="K11" s="256">
        <v>1626503000</v>
      </c>
      <c r="L11" s="256">
        <v>1651171000</v>
      </c>
      <c r="M11" s="256">
        <v>703599807.02999997</v>
      </c>
      <c r="N11" s="256">
        <v>26511192.969999999</v>
      </c>
      <c r="O11" s="256">
        <v>1671367000</v>
      </c>
      <c r="P11" s="257">
        <v>-20196000</v>
      </c>
      <c r="Q11" s="257">
        <v>-44864000</v>
      </c>
      <c r="R11" s="258">
        <v>-2.7171019839859107E-2</v>
      </c>
      <c r="S11" s="258">
        <v>1.4939700370222103E-2</v>
      </c>
      <c r="T11" s="258">
        <v>-1.2231319469637004E-2</v>
      </c>
      <c r="U11" s="259">
        <v>61.380058321581373</v>
      </c>
      <c r="V11" s="259">
        <v>74.332237503595493</v>
      </c>
      <c r="W11" s="260">
        <v>5.1803064300758503</v>
      </c>
      <c r="X11" s="259">
        <v>9.1748694804417941E-2</v>
      </c>
      <c r="Y11" s="257">
        <v>5890095000</v>
      </c>
      <c r="Z11" s="258">
        <v>3.1417813924196354E-2</v>
      </c>
      <c r="AA11" s="260">
        <v>4.378140042878524</v>
      </c>
      <c r="AB11" s="258">
        <v>0.63178857824602019</v>
      </c>
      <c r="AC11" s="258">
        <v>0.38478954261616594</v>
      </c>
      <c r="AD11" s="262"/>
      <c r="AE11" s="263"/>
      <c r="AF11" s="263"/>
      <c r="AG11" s="263"/>
      <c r="AH11" s="263"/>
      <c r="AI11" s="263"/>
      <c r="AJ11" s="263"/>
    </row>
    <row r="12" spans="1:36" ht="30" customHeight="1" x14ac:dyDescent="0.3">
      <c r="A12" s="191" t="s">
        <v>144</v>
      </c>
      <c r="B12" s="191" t="s">
        <v>141</v>
      </c>
      <c r="C12" s="191">
        <v>50</v>
      </c>
      <c r="D12" s="191">
        <v>3791</v>
      </c>
      <c r="E12" s="191" t="s">
        <v>77</v>
      </c>
      <c r="F12" s="191" t="s">
        <v>24</v>
      </c>
      <c r="G12" s="191" t="s">
        <v>78</v>
      </c>
      <c r="H12" s="191" t="s">
        <v>747</v>
      </c>
      <c r="I12" s="191" t="s">
        <v>35</v>
      </c>
      <c r="J12" s="191" t="s">
        <v>748</v>
      </c>
      <c r="K12" s="192">
        <v>153396000</v>
      </c>
      <c r="L12" s="192">
        <v>149545000</v>
      </c>
      <c r="M12" s="192">
        <v>65622522.433646761</v>
      </c>
      <c r="N12" s="192">
        <v>3013477.5663532396</v>
      </c>
      <c r="O12" s="192">
        <v>146945000</v>
      </c>
      <c r="P12" s="193">
        <v>2600000</v>
      </c>
      <c r="Q12" s="193">
        <v>6451000</v>
      </c>
      <c r="R12" s="194">
        <v>4.3137517135310444E-2</v>
      </c>
      <c r="S12" s="194">
        <v>-2.5751446053027517E-2</v>
      </c>
      <c r="T12" s="194">
        <v>1.7386071082282926E-2</v>
      </c>
      <c r="U12" s="195">
        <v>40.256306934159504</v>
      </c>
      <c r="V12" s="195">
        <v>45.790193854693513</v>
      </c>
      <c r="W12" s="196">
        <v>-0.75883927313706157</v>
      </c>
      <c r="X12" s="195">
        <v>-121.16744269593272</v>
      </c>
      <c r="Y12" s="193">
        <v>-5114000</v>
      </c>
      <c r="Z12" s="194">
        <v>9.9448963526633433E-2</v>
      </c>
      <c r="AA12" s="196">
        <v>2.1583867521367521</v>
      </c>
      <c r="AB12" s="194">
        <v>-5.5252439037566041E-2</v>
      </c>
      <c r="AC12" s="194">
        <v>6.9189300411522634</v>
      </c>
    </row>
    <row r="13" spans="1:36" ht="30" customHeight="1" x14ac:dyDescent="0.3">
      <c r="A13" s="255" t="s">
        <v>129</v>
      </c>
      <c r="B13" s="255" t="s">
        <v>128</v>
      </c>
      <c r="C13" s="255">
        <v>51</v>
      </c>
      <c r="D13" s="255">
        <v>13155</v>
      </c>
      <c r="E13" s="255" t="s">
        <v>77</v>
      </c>
      <c r="F13" s="255" t="s">
        <v>99</v>
      </c>
      <c r="G13" s="255" t="s">
        <v>747</v>
      </c>
      <c r="H13" s="255" t="s">
        <v>78</v>
      </c>
      <c r="I13" s="255" t="s">
        <v>28</v>
      </c>
      <c r="J13" s="255" t="s">
        <v>748</v>
      </c>
      <c r="K13" s="256">
        <v>1879080894.21</v>
      </c>
      <c r="L13" s="256">
        <v>2144909226.6700001</v>
      </c>
      <c r="M13" s="256">
        <v>531569018.75999999</v>
      </c>
      <c r="N13" s="256">
        <v>3806226</v>
      </c>
      <c r="O13" s="256">
        <v>2037873793.6500001</v>
      </c>
      <c r="P13" s="257">
        <v>107035433.01999998</v>
      </c>
      <c r="Q13" s="257">
        <v>-158792899.44000006</v>
      </c>
      <c r="R13" s="258">
        <v>-7.4032456695861268E-2</v>
      </c>
      <c r="S13" s="258">
        <v>0.12393453725438162</v>
      </c>
      <c r="T13" s="258">
        <v>4.9902080558520377E-2</v>
      </c>
      <c r="U13" s="259">
        <v>29.838297109871686</v>
      </c>
      <c r="V13" s="259">
        <v>109.39539990142885</v>
      </c>
      <c r="W13" s="260">
        <v>1.231686434874715</v>
      </c>
      <c r="X13" s="259">
        <v>11.153396935607569</v>
      </c>
      <c r="Y13" s="257">
        <v>4828900585.1700001</v>
      </c>
      <c r="Z13" s="258">
        <v>8.2173323138840182E-2</v>
      </c>
      <c r="AA13" s="260">
        <v>11.22671622492183</v>
      </c>
      <c r="AB13" s="258">
        <v>0.68234884418074437</v>
      </c>
      <c r="AC13" s="258">
        <v>0.17459348280531609</v>
      </c>
      <c r="AD13" s="262"/>
      <c r="AE13" s="263"/>
      <c r="AF13" s="263"/>
      <c r="AG13" s="263"/>
      <c r="AH13" s="263"/>
      <c r="AI13" s="263"/>
      <c r="AJ13" s="263"/>
    </row>
    <row r="14" spans="1:36" ht="30" customHeight="1" x14ac:dyDescent="0.3">
      <c r="A14" s="191" t="s">
        <v>93</v>
      </c>
      <c r="B14" s="191" t="s">
        <v>90</v>
      </c>
      <c r="C14" s="191">
        <v>53</v>
      </c>
      <c r="D14" s="191">
        <v>16665</v>
      </c>
      <c r="E14" s="191" t="s">
        <v>77</v>
      </c>
      <c r="F14" s="191" t="s">
        <v>27</v>
      </c>
      <c r="G14" s="191" t="s">
        <v>747</v>
      </c>
      <c r="H14" s="191" t="s">
        <v>747</v>
      </c>
      <c r="I14" s="191" t="s">
        <v>28</v>
      </c>
      <c r="J14" s="191" t="s">
        <v>748</v>
      </c>
      <c r="K14" s="192">
        <v>96625000</v>
      </c>
      <c r="L14" s="192">
        <v>97256000</v>
      </c>
      <c r="M14" s="192">
        <v>40771811</v>
      </c>
      <c r="N14" s="192">
        <v>808189</v>
      </c>
      <c r="O14" s="192">
        <v>89039000</v>
      </c>
      <c r="P14" s="193">
        <v>8217000</v>
      </c>
      <c r="Q14" s="193">
        <v>7586000</v>
      </c>
      <c r="R14" s="194">
        <v>7.800032902854323E-2</v>
      </c>
      <c r="S14" s="194">
        <v>6.4880315867401495E-3</v>
      </c>
      <c r="T14" s="194">
        <v>8.4488360615283378E-2</v>
      </c>
      <c r="U14" s="195">
        <v>31.85321081289246</v>
      </c>
      <c r="V14" s="195">
        <v>36.935444931222911</v>
      </c>
      <c r="W14" s="196">
        <v>3.6728126717633538</v>
      </c>
      <c r="X14" s="195">
        <v>25.668898388920294</v>
      </c>
      <c r="Y14" s="193">
        <v>127757000</v>
      </c>
      <c r="Z14" s="194">
        <v>0.14579025470114579</v>
      </c>
      <c r="AA14" s="196">
        <v>4.6950000000000003</v>
      </c>
      <c r="AB14" s="194">
        <v>0.55496333750347515</v>
      </c>
      <c r="AC14" s="194">
        <v>0.3947690764963856</v>
      </c>
    </row>
    <row r="15" spans="1:36" ht="30" customHeight="1" x14ac:dyDescent="0.3">
      <c r="A15" s="255" t="s">
        <v>132</v>
      </c>
      <c r="B15" s="255" t="s">
        <v>131</v>
      </c>
      <c r="C15" s="255">
        <v>57</v>
      </c>
      <c r="D15" s="255">
        <v>12776</v>
      </c>
      <c r="E15" s="255" t="s">
        <v>77</v>
      </c>
      <c r="F15" s="255" t="s">
        <v>27</v>
      </c>
      <c r="G15" s="255" t="s">
        <v>747</v>
      </c>
      <c r="H15" s="255" t="s">
        <v>747</v>
      </c>
      <c r="I15" s="255" t="s">
        <v>33</v>
      </c>
      <c r="J15" s="255" t="s">
        <v>748</v>
      </c>
      <c r="K15" s="256">
        <v>207585089</v>
      </c>
      <c r="L15" s="256">
        <v>210132703</v>
      </c>
      <c r="M15" s="256">
        <v>110792329</v>
      </c>
      <c r="N15" s="256">
        <v>4590065</v>
      </c>
      <c r="O15" s="256">
        <v>208279858</v>
      </c>
      <c r="P15" s="257">
        <v>1852845</v>
      </c>
      <c r="Q15" s="257">
        <v>-694769</v>
      </c>
      <c r="R15" s="258">
        <v>-3.306334473792021E-3</v>
      </c>
      <c r="S15" s="258">
        <v>1.2123833956487962E-2</v>
      </c>
      <c r="T15" s="258">
        <v>8.8174994826959417E-3</v>
      </c>
      <c r="U15" s="259">
        <v>38.422505721891625</v>
      </c>
      <c r="V15" s="259">
        <v>66.924077464192251</v>
      </c>
      <c r="W15" s="260">
        <v>0.97577035546257707</v>
      </c>
      <c r="X15" s="259">
        <v>12.007157477525716</v>
      </c>
      <c r="Y15" s="257">
        <v>139854883</v>
      </c>
      <c r="Z15" s="258">
        <v>4.7194898792486242E-2</v>
      </c>
      <c r="AA15" s="260">
        <v>0.77010911567811924</v>
      </c>
      <c r="AB15" s="258">
        <v>0.44708655469633929</v>
      </c>
      <c r="AC15" s="258">
        <v>0.44163411284676485</v>
      </c>
      <c r="AD15" s="262"/>
      <c r="AE15" s="263"/>
      <c r="AF15" s="263"/>
      <c r="AG15" s="263"/>
      <c r="AH15" s="263"/>
      <c r="AI15" s="263"/>
      <c r="AJ15" s="263"/>
    </row>
    <row r="16" spans="1:36" ht="30" customHeight="1" x14ac:dyDescent="0.3">
      <c r="A16" s="191" t="s">
        <v>142</v>
      </c>
      <c r="B16" s="191" t="s">
        <v>141</v>
      </c>
      <c r="C16" s="191">
        <v>59</v>
      </c>
      <c r="D16" s="191">
        <v>3791</v>
      </c>
      <c r="E16" s="191" t="s">
        <v>77</v>
      </c>
      <c r="F16" s="191" t="s">
        <v>24</v>
      </c>
      <c r="G16" s="191" t="s">
        <v>78</v>
      </c>
      <c r="H16" s="191" t="s">
        <v>78</v>
      </c>
      <c r="I16" s="191" t="s">
        <v>28</v>
      </c>
      <c r="J16" s="191" t="s">
        <v>748</v>
      </c>
      <c r="K16" s="192">
        <v>219687000</v>
      </c>
      <c r="L16" s="192">
        <v>219985000</v>
      </c>
      <c r="M16" s="192">
        <v>104566334.0793</v>
      </c>
      <c r="N16" s="192">
        <v>7381665.9206999997</v>
      </c>
      <c r="O16" s="192">
        <v>233318000</v>
      </c>
      <c r="P16" s="193">
        <v>-13333000</v>
      </c>
      <c r="Q16" s="193">
        <v>-13631000</v>
      </c>
      <c r="R16" s="194">
        <v>-6.196331568061459E-2</v>
      </c>
      <c r="S16" s="194">
        <v>1.354637816214742E-3</v>
      </c>
      <c r="T16" s="194">
        <v>-6.0608677864399843E-2</v>
      </c>
      <c r="U16" s="195">
        <v>64.120659383534914</v>
      </c>
      <c r="V16" s="195">
        <v>56.472096831097396</v>
      </c>
      <c r="W16" s="196">
        <v>1.2358609490844603</v>
      </c>
      <c r="X16" s="195">
        <v>-3.6415636901477249</v>
      </c>
      <c r="Y16" s="193">
        <v>148089000</v>
      </c>
      <c r="Z16" s="194">
        <v>-3.7298222729496167E-3</v>
      </c>
      <c r="AA16" s="196">
        <v>0.24470629411421571</v>
      </c>
      <c r="AB16" s="194">
        <v>0.33170863917678178</v>
      </c>
      <c r="AC16" s="194">
        <v>0.64084040399857123</v>
      </c>
    </row>
    <row r="17" spans="1:36" ht="30" customHeight="1" x14ac:dyDescent="0.3">
      <c r="A17" s="255" t="s">
        <v>198</v>
      </c>
      <c r="B17" s="255" t="s">
        <v>160</v>
      </c>
      <c r="C17" s="255">
        <v>68</v>
      </c>
      <c r="D17" s="255">
        <v>6755</v>
      </c>
      <c r="E17" s="255" t="s">
        <v>77</v>
      </c>
      <c r="F17" s="255" t="s">
        <v>24</v>
      </c>
      <c r="G17" s="255" t="s">
        <v>78</v>
      </c>
      <c r="H17" s="255" t="s">
        <v>747</v>
      </c>
      <c r="I17" s="255" t="s">
        <v>25</v>
      </c>
      <c r="J17" s="255" t="s">
        <v>748</v>
      </c>
      <c r="K17" s="256">
        <v>107056000</v>
      </c>
      <c r="L17" s="256">
        <v>110712000</v>
      </c>
      <c r="M17" s="256">
        <v>53565000</v>
      </c>
      <c r="N17" s="256">
        <v>836767.23</v>
      </c>
      <c r="O17" s="256">
        <v>110823000</v>
      </c>
      <c r="P17" s="257">
        <v>-111000</v>
      </c>
      <c r="Q17" s="257">
        <v>-3767000</v>
      </c>
      <c r="R17" s="258">
        <v>-3.402521858515789E-2</v>
      </c>
      <c r="S17" s="258">
        <v>3.3022617241130141E-2</v>
      </c>
      <c r="T17" s="258">
        <v>-1.0026013440277476E-3</v>
      </c>
      <c r="U17" s="259">
        <v>47.588453859804787</v>
      </c>
      <c r="V17" s="259">
        <v>116.55911819904949</v>
      </c>
      <c r="W17" s="260">
        <v>0.81419658949119644</v>
      </c>
      <c r="X17" s="259">
        <v>0.98833789297752561</v>
      </c>
      <c r="Y17" s="257">
        <v>82579000</v>
      </c>
      <c r="Z17" s="258">
        <v>5.0090115070012479E-2</v>
      </c>
      <c r="AA17" s="260">
        <v>3.1215502055196711</v>
      </c>
      <c r="AB17" s="258">
        <v>0.43942296435831124</v>
      </c>
      <c r="AC17" s="258">
        <v>0</v>
      </c>
      <c r="AD17" s="262"/>
      <c r="AE17" s="263"/>
      <c r="AF17" s="263"/>
      <c r="AG17" s="263"/>
      <c r="AH17" s="263"/>
      <c r="AI17" s="263"/>
      <c r="AJ17" s="263"/>
    </row>
    <row r="18" spans="1:36" ht="30" customHeight="1" x14ac:dyDescent="0.3">
      <c r="A18" s="191" t="s">
        <v>136</v>
      </c>
      <c r="B18" s="191" t="s">
        <v>134</v>
      </c>
      <c r="C18" s="191">
        <v>73</v>
      </c>
      <c r="D18" s="191">
        <v>12807</v>
      </c>
      <c r="E18" s="191" t="s">
        <v>77</v>
      </c>
      <c r="F18" s="191" t="s">
        <v>24</v>
      </c>
      <c r="G18" s="191" t="s">
        <v>78</v>
      </c>
      <c r="H18" s="191" t="s">
        <v>747</v>
      </c>
      <c r="I18" s="191" t="s">
        <v>25</v>
      </c>
      <c r="J18" s="191" t="s">
        <v>748</v>
      </c>
      <c r="K18" s="192">
        <v>101762492</v>
      </c>
      <c r="L18" s="192">
        <v>102432410</v>
      </c>
      <c r="M18" s="192">
        <v>45956123</v>
      </c>
      <c r="N18" s="192">
        <v>1351381.56</v>
      </c>
      <c r="O18" s="192">
        <v>103675582</v>
      </c>
      <c r="P18" s="193">
        <v>-1243172</v>
      </c>
      <c r="Q18" s="193">
        <v>-1913090</v>
      </c>
      <c r="R18" s="194">
        <v>-1.8676608311763824E-2</v>
      </c>
      <c r="S18" s="194">
        <v>6.540098002185051E-3</v>
      </c>
      <c r="T18" s="194">
        <v>-1.2136510309578775E-2</v>
      </c>
      <c r="U18" s="195">
        <v>21.496805273277577</v>
      </c>
      <c r="V18" s="195">
        <v>42.98882682813489</v>
      </c>
      <c r="W18" s="196">
        <v>1.0087142536042524</v>
      </c>
      <c r="X18" s="195">
        <v>10.394259692492309</v>
      </c>
      <c r="Y18" s="193">
        <v>11128787</v>
      </c>
      <c r="Z18" s="194">
        <v>1.3285906305437325E-2</v>
      </c>
      <c r="AA18" s="196">
        <v>1.0083119867879233</v>
      </c>
      <c r="AB18" s="194">
        <v>0.10318783733606389</v>
      </c>
      <c r="AC18" s="194">
        <v>0.864309550947161</v>
      </c>
    </row>
    <row r="19" spans="1:36" ht="30" customHeight="1" x14ac:dyDescent="0.3">
      <c r="A19" s="255" t="s">
        <v>176</v>
      </c>
      <c r="B19" s="255" t="s">
        <v>138</v>
      </c>
      <c r="C19" s="255">
        <v>75</v>
      </c>
      <c r="D19" s="255">
        <v>13156</v>
      </c>
      <c r="E19" s="255" t="s">
        <v>77</v>
      </c>
      <c r="F19" s="255" t="s">
        <v>24</v>
      </c>
      <c r="G19" s="255" t="s">
        <v>78</v>
      </c>
      <c r="H19" s="255" t="s">
        <v>747</v>
      </c>
      <c r="I19" s="255" t="s">
        <v>33</v>
      </c>
      <c r="J19" s="255" t="s">
        <v>748</v>
      </c>
      <c r="K19" s="256">
        <v>93486000</v>
      </c>
      <c r="L19" s="256">
        <v>93501000</v>
      </c>
      <c r="M19" s="256">
        <v>47650000</v>
      </c>
      <c r="N19" s="256">
        <v>3522834</v>
      </c>
      <c r="O19" s="256">
        <v>123725000</v>
      </c>
      <c r="P19" s="257">
        <v>-30224000</v>
      </c>
      <c r="Q19" s="257">
        <v>-30239000</v>
      </c>
      <c r="R19" s="258">
        <v>-0.32340830579352092</v>
      </c>
      <c r="S19" s="258">
        <v>1.6042609169955401E-4</v>
      </c>
      <c r="T19" s="258">
        <v>-0.32324787970182139</v>
      </c>
      <c r="U19" s="259">
        <v>32.600343780694701</v>
      </c>
      <c r="V19" s="259">
        <v>140.32121164927582</v>
      </c>
      <c r="W19" s="260">
        <v>0.8731393309396781</v>
      </c>
      <c r="X19" s="259">
        <v>2.116718169821064</v>
      </c>
      <c r="Y19" s="257">
        <v>67232000</v>
      </c>
      <c r="Z19" s="258">
        <v>-0.26169202655671769</v>
      </c>
      <c r="AA19" s="260">
        <v>-28497</v>
      </c>
      <c r="AB19" s="258">
        <v>0.38171588192879163</v>
      </c>
      <c r="AC19" s="258">
        <v>0</v>
      </c>
      <c r="AD19" s="262"/>
      <c r="AE19" s="263"/>
      <c r="AF19" s="263"/>
      <c r="AG19" s="263"/>
      <c r="AH19" s="263"/>
      <c r="AI19" s="263"/>
      <c r="AJ19" s="263"/>
    </row>
    <row r="20" spans="1:36" ht="30" customHeight="1" x14ac:dyDescent="0.3">
      <c r="A20" s="191" t="s">
        <v>205</v>
      </c>
      <c r="B20" s="191" t="s">
        <v>204</v>
      </c>
      <c r="C20" s="191">
        <v>77</v>
      </c>
      <c r="D20" s="191">
        <v>12767</v>
      </c>
      <c r="E20" s="191" t="s">
        <v>77</v>
      </c>
      <c r="F20" s="191" t="s">
        <v>24</v>
      </c>
      <c r="G20" s="191" t="s">
        <v>78</v>
      </c>
      <c r="H20" s="191" t="s">
        <v>747</v>
      </c>
      <c r="I20" s="191" t="s">
        <v>35</v>
      </c>
      <c r="J20" s="191" t="s">
        <v>748</v>
      </c>
      <c r="K20" s="192">
        <v>159188049</v>
      </c>
      <c r="L20" s="192">
        <v>159403252</v>
      </c>
      <c r="M20" s="192">
        <v>95281357</v>
      </c>
      <c r="N20" s="192">
        <v>685419.32000000007</v>
      </c>
      <c r="O20" s="192">
        <v>155236893</v>
      </c>
      <c r="P20" s="193">
        <v>4166359</v>
      </c>
      <c r="Q20" s="193">
        <v>3951156</v>
      </c>
      <c r="R20" s="194">
        <v>2.4787173099831111E-2</v>
      </c>
      <c r="S20" s="194">
        <v>1.3500540126998161E-3</v>
      </c>
      <c r="T20" s="194">
        <v>2.6137227112530928E-2</v>
      </c>
      <c r="U20" s="195">
        <v>52.918485564091817</v>
      </c>
      <c r="V20" s="195">
        <v>64.465964895930313</v>
      </c>
      <c r="W20" s="196">
        <v>1.2543223501243366</v>
      </c>
      <c r="X20" s="195">
        <v>25.21357931851022</v>
      </c>
      <c r="Y20" s="193">
        <v>64480383</v>
      </c>
      <c r="Z20" s="194">
        <v>0.10352259828102005</v>
      </c>
      <c r="AA20" s="196">
        <v>2.8968028066225204</v>
      </c>
      <c r="AB20" s="194">
        <v>0.43593044633124017</v>
      </c>
      <c r="AC20" s="194">
        <v>0.24142648660803143</v>
      </c>
    </row>
    <row r="21" spans="1:36" ht="30" customHeight="1" x14ac:dyDescent="0.3">
      <c r="A21" s="255" t="s">
        <v>94</v>
      </c>
      <c r="B21" s="255" t="s">
        <v>90</v>
      </c>
      <c r="C21" s="255">
        <v>79</v>
      </c>
      <c r="D21" s="255">
        <v>16665</v>
      </c>
      <c r="E21" s="255" t="s">
        <v>77</v>
      </c>
      <c r="F21" s="255" t="s">
        <v>24</v>
      </c>
      <c r="G21" s="255" t="s">
        <v>78</v>
      </c>
      <c r="H21" s="255" t="s">
        <v>747</v>
      </c>
      <c r="I21" s="255" t="s">
        <v>31</v>
      </c>
      <c r="J21" s="255" t="s">
        <v>748</v>
      </c>
      <c r="K21" s="256">
        <v>204665000</v>
      </c>
      <c r="L21" s="256">
        <v>206629000</v>
      </c>
      <c r="M21" s="256">
        <v>84972861</v>
      </c>
      <c r="N21" s="256">
        <v>2676139</v>
      </c>
      <c r="O21" s="256">
        <v>194906000</v>
      </c>
      <c r="P21" s="257">
        <v>11723000</v>
      </c>
      <c r="Q21" s="257">
        <v>9759000</v>
      </c>
      <c r="R21" s="258">
        <v>4.7229575712992855E-2</v>
      </c>
      <c r="S21" s="258">
        <v>9.5049581617294761E-3</v>
      </c>
      <c r="T21" s="258">
        <v>5.6734533874722326E-2</v>
      </c>
      <c r="U21" s="259">
        <v>36.146506422983499</v>
      </c>
      <c r="V21" s="259">
        <v>58.29654698323727</v>
      </c>
      <c r="W21" s="260">
        <v>1.1506006228681596</v>
      </c>
      <c r="X21" s="259">
        <v>25.815966897572842</v>
      </c>
      <c r="Y21" s="257">
        <v>96363000</v>
      </c>
      <c r="Z21" s="258">
        <v>9.7062927140728825E-2</v>
      </c>
      <c r="AA21" s="260">
        <v>3.1410414827890558</v>
      </c>
      <c r="AB21" s="258">
        <v>0.33538213091190056</v>
      </c>
      <c r="AC21" s="258">
        <v>0.58312504299571188</v>
      </c>
      <c r="AD21" s="262"/>
      <c r="AE21" s="263"/>
      <c r="AF21" s="263"/>
      <c r="AG21" s="263"/>
      <c r="AH21" s="263"/>
      <c r="AI21" s="263"/>
      <c r="AJ21" s="263"/>
    </row>
    <row r="22" spans="1:36" ht="30" customHeight="1" x14ac:dyDescent="0.3">
      <c r="A22" s="191" t="s">
        <v>139</v>
      </c>
      <c r="B22" s="191" t="s">
        <v>138</v>
      </c>
      <c r="C22" s="191">
        <v>83</v>
      </c>
      <c r="D22" s="191">
        <v>13156</v>
      </c>
      <c r="E22" s="191" t="s">
        <v>77</v>
      </c>
      <c r="F22" s="191" t="s">
        <v>24</v>
      </c>
      <c r="G22" s="191" t="s">
        <v>78</v>
      </c>
      <c r="H22" s="191" t="s">
        <v>747</v>
      </c>
      <c r="I22" s="191" t="s">
        <v>33</v>
      </c>
      <c r="J22" s="191" t="s">
        <v>748</v>
      </c>
      <c r="K22" s="192">
        <v>183055000</v>
      </c>
      <c r="L22" s="192">
        <v>183574000</v>
      </c>
      <c r="M22" s="192">
        <v>84847000</v>
      </c>
      <c r="N22" s="192">
        <v>6860590</v>
      </c>
      <c r="O22" s="192">
        <v>186271000</v>
      </c>
      <c r="P22" s="193">
        <v>-2697000</v>
      </c>
      <c r="Q22" s="193">
        <v>-3216000</v>
      </c>
      <c r="R22" s="194">
        <v>-1.7518820748036214E-2</v>
      </c>
      <c r="S22" s="194">
        <v>2.8271977513155458E-3</v>
      </c>
      <c r="T22" s="194">
        <v>-1.4691622996720669E-2</v>
      </c>
      <c r="U22" s="195">
        <v>42.666542459176405</v>
      </c>
      <c r="V22" s="195">
        <v>158.101745317103</v>
      </c>
      <c r="W22" s="196">
        <v>0.98959501278198858</v>
      </c>
      <c r="X22" s="195">
        <v>9.6479211828136293</v>
      </c>
      <c r="Y22" s="193">
        <v>14440000</v>
      </c>
      <c r="Z22" s="194">
        <v>1.7045993040793947E-2</v>
      </c>
      <c r="AA22" s="196">
        <v>1.6178767717674285</v>
      </c>
      <c r="AB22" s="194">
        <v>4.8119699418498092E-2</v>
      </c>
      <c r="AC22" s="194">
        <v>0.83079225754077979</v>
      </c>
    </row>
    <row r="23" spans="1:36" ht="30" customHeight="1" x14ac:dyDescent="0.3">
      <c r="A23" s="255" t="s">
        <v>191</v>
      </c>
      <c r="B23" s="255" t="s">
        <v>190</v>
      </c>
      <c r="C23" s="255">
        <v>85</v>
      </c>
      <c r="D23" s="255">
        <v>12775</v>
      </c>
      <c r="E23" s="255" t="s">
        <v>77</v>
      </c>
      <c r="F23" s="255" t="s">
        <v>24</v>
      </c>
      <c r="G23" s="255" t="s">
        <v>78</v>
      </c>
      <c r="H23" s="255" t="s">
        <v>747</v>
      </c>
      <c r="I23" s="255" t="s">
        <v>33</v>
      </c>
      <c r="J23" s="255" t="s">
        <v>748</v>
      </c>
      <c r="K23" s="256">
        <v>346342000</v>
      </c>
      <c r="L23" s="256">
        <v>346260000</v>
      </c>
      <c r="M23" s="256">
        <v>152649000</v>
      </c>
      <c r="N23" s="256">
        <v>689460.875</v>
      </c>
      <c r="O23" s="256">
        <v>336614000</v>
      </c>
      <c r="P23" s="257">
        <v>9646000</v>
      </c>
      <c r="Q23" s="257">
        <v>9728000</v>
      </c>
      <c r="R23" s="258">
        <v>2.8094495465834923E-2</v>
      </c>
      <c r="S23" s="258">
        <v>-2.3681626523421707E-4</v>
      </c>
      <c r="T23" s="258">
        <v>2.7857679200600706E-2</v>
      </c>
      <c r="U23" s="259">
        <v>45.588150651231444</v>
      </c>
      <c r="V23" s="259">
        <v>14.650177841776202</v>
      </c>
      <c r="W23" s="260">
        <v>4.4790761240945747</v>
      </c>
      <c r="X23" s="259">
        <v>8.4969908433023189</v>
      </c>
      <c r="Y23" s="257">
        <v>208930000</v>
      </c>
      <c r="Z23" s="258">
        <v>0.20264371878014537</v>
      </c>
      <c r="AA23" s="260">
        <v>3.6455661664392904</v>
      </c>
      <c r="AB23" s="258">
        <v>0.30099202175936196</v>
      </c>
      <c r="AC23" s="258">
        <v>0.25406748177932281</v>
      </c>
      <c r="AD23" s="262"/>
      <c r="AE23" s="263"/>
      <c r="AF23" s="263"/>
      <c r="AG23" s="263"/>
      <c r="AH23" s="263"/>
      <c r="AI23" s="263"/>
      <c r="AJ23" s="263"/>
    </row>
    <row r="24" spans="1:36" ht="30" customHeight="1" x14ac:dyDescent="0.3">
      <c r="A24" s="191" t="s">
        <v>145</v>
      </c>
      <c r="B24" s="191" t="s">
        <v>141</v>
      </c>
      <c r="C24" s="191">
        <v>88</v>
      </c>
      <c r="D24" s="191">
        <v>3791</v>
      </c>
      <c r="E24" s="191" t="s">
        <v>77</v>
      </c>
      <c r="F24" s="191" t="s">
        <v>24</v>
      </c>
      <c r="G24" s="191" t="s">
        <v>747</v>
      </c>
      <c r="H24" s="191" t="s">
        <v>747</v>
      </c>
      <c r="I24" s="191" t="s">
        <v>23</v>
      </c>
      <c r="J24" s="191" t="s">
        <v>748</v>
      </c>
      <c r="K24" s="192">
        <v>71993000</v>
      </c>
      <c r="L24" s="192">
        <v>75137000</v>
      </c>
      <c r="M24" s="192">
        <v>42643225.189999998</v>
      </c>
      <c r="N24" s="192">
        <v>5623774.8100000005</v>
      </c>
      <c r="O24" s="192">
        <v>82974000</v>
      </c>
      <c r="P24" s="193">
        <v>-7837000</v>
      </c>
      <c r="Q24" s="193">
        <v>-10981000</v>
      </c>
      <c r="R24" s="194">
        <v>-0.14614637262600316</v>
      </c>
      <c r="S24" s="194">
        <v>4.1843565753224107E-2</v>
      </c>
      <c r="T24" s="194">
        <v>-0.10430280687277906</v>
      </c>
      <c r="U24" s="195">
        <v>24.003525026942881</v>
      </c>
      <c r="V24" s="195">
        <v>13.229158753070475</v>
      </c>
      <c r="W24" s="196">
        <v>2.5554327808471453</v>
      </c>
      <c r="X24" s="195">
        <v>33.546604750690065</v>
      </c>
      <c r="Y24" s="193">
        <v>210363000</v>
      </c>
      <c r="Z24" s="194">
        <v>-5.754270591065843E-2</v>
      </c>
      <c r="AA24" s="196">
        <v>-20.185714285714287</v>
      </c>
      <c r="AB24" s="194">
        <v>0.85366972104763372</v>
      </c>
      <c r="AC24" s="194">
        <v>2.6164121343264951E-3</v>
      </c>
    </row>
    <row r="25" spans="1:36" ht="30" customHeight="1" x14ac:dyDescent="0.3">
      <c r="A25" s="255" t="s">
        <v>146</v>
      </c>
      <c r="B25" s="255" t="s">
        <v>141</v>
      </c>
      <c r="C25" s="255">
        <v>89</v>
      </c>
      <c r="D25" s="255">
        <v>3791</v>
      </c>
      <c r="E25" s="255" t="s">
        <v>77</v>
      </c>
      <c r="F25" s="255" t="s">
        <v>99</v>
      </c>
      <c r="G25" s="255" t="s">
        <v>747</v>
      </c>
      <c r="H25" s="255" t="s">
        <v>78</v>
      </c>
      <c r="I25" s="255" t="s">
        <v>28</v>
      </c>
      <c r="J25" s="255" t="s">
        <v>748</v>
      </c>
      <c r="K25" s="256">
        <v>216128000</v>
      </c>
      <c r="L25" s="256">
        <v>218920000</v>
      </c>
      <c r="M25" s="256">
        <v>73082753.569999993</v>
      </c>
      <c r="N25" s="256">
        <v>2153246.4300000002</v>
      </c>
      <c r="O25" s="256">
        <v>216786000</v>
      </c>
      <c r="P25" s="257">
        <v>2134000</v>
      </c>
      <c r="Q25" s="257">
        <v>-658000</v>
      </c>
      <c r="R25" s="258">
        <v>-3.0056641695596566E-3</v>
      </c>
      <c r="S25" s="258">
        <v>1.27535172665814E-2</v>
      </c>
      <c r="T25" s="258">
        <v>9.7478530970217438E-3</v>
      </c>
      <c r="U25" s="259">
        <v>40.611652778246352</v>
      </c>
      <c r="V25" s="259">
        <v>69.287604096496111</v>
      </c>
      <c r="W25" s="260">
        <v>3.6505950252821898E-2</v>
      </c>
      <c r="X25" s="259">
        <v>-81.167235353269092</v>
      </c>
      <c r="Y25" s="257">
        <v>46914000</v>
      </c>
      <c r="Z25" s="258">
        <v>7.845520070907358E-2</v>
      </c>
      <c r="AA25" s="260">
        <v>1.4442485676509476</v>
      </c>
      <c r="AB25" s="258">
        <v>0.17195701257953847</v>
      </c>
      <c r="AC25" s="258">
        <v>0.6901771996312609</v>
      </c>
      <c r="AD25" s="262"/>
      <c r="AE25" s="263"/>
      <c r="AF25" s="263"/>
      <c r="AG25" s="263"/>
      <c r="AH25" s="263"/>
      <c r="AI25" s="263"/>
      <c r="AJ25" s="263"/>
    </row>
    <row r="26" spans="1:36" ht="30" customHeight="1" x14ac:dyDescent="0.3">
      <c r="A26" s="191" t="s">
        <v>147</v>
      </c>
      <c r="B26" s="191" t="s">
        <v>141</v>
      </c>
      <c r="C26" s="191">
        <v>91</v>
      </c>
      <c r="D26" s="191">
        <v>3791</v>
      </c>
      <c r="E26" s="191" t="s">
        <v>77</v>
      </c>
      <c r="F26" s="191" t="s">
        <v>22</v>
      </c>
      <c r="G26" s="191" t="s">
        <v>747</v>
      </c>
      <c r="H26" s="191" t="s">
        <v>78</v>
      </c>
      <c r="I26" s="191" t="s">
        <v>28</v>
      </c>
      <c r="J26" s="191" t="s">
        <v>748</v>
      </c>
      <c r="K26" s="192">
        <v>3912540000</v>
      </c>
      <c r="L26" s="192">
        <v>4002210000</v>
      </c>
      <c r="M26" s="192">
        <v>1137874375.76</v>
      </c>
      <c r="N26" s="192">
        <v>20799624.240000021</v>
      </c>
      <c r="O26" s="192">
        <v>3608816000</v>
      </c>
      <c r="P26" s="193">
        <v>393394000</v>
      </c>
      <c r="Q26" s="193">
        <v>303724000</v>
      </c>
      <c r="R26" s="194">
        <v>7.5889071288113313E-2</v>
      </c>
      <c r="S26" s="194">
        <v>2.2405121170553269E-2</v>
      </c>
      <c r="T26" s="194">
        <v>9.8294192458666593E-2</v>
      </c>
      <c r="U26" s="195">
        <v>51.127116428380276</v>
      </c>
      <c r="V26" s="195">
        <v>80.020240487382225</v>
      </c>
      <c r="W26" s="196">
        <v>1.7012933271066832</v>
      </c>
      <c r="X26" s="195">
        <v>21.703753902919551</v>
      </c>
      <c r="Y26" s="193">
        <v>7962712000</v>
      </c>
      <c r="Z26" s="194">
        <v>0.1762959213662933</v>
      </c>
      <c r="AA26" s="196">
        <v>6.4317265782443647</v>
      </c>
      <c r="AB26" s="194">
        <v>0.65505588907330059</v>
      </c>
      <c r="AC26" s="194">
        <v>0.24205097183973001</v>
      </c>
    </row>
    <row r="27" spans="1:36" ht="30" customHeight="1" x14ac:dyDescent="0.3">
      <c r="A27" s="255" t="s">
        <v>159</v>
      </c>
      <c r="B27" s="255" t="s">
        <v>160</v>
      </c>
      <c r="C27" s="255">
        <v>97</v>
      </c>
      <c r="D27" s="255">
        <v>6755</v>
      </c>
      <c r="E27" s="255" t="s">
        <v>77</v>
      </c>
      <c r="F27" s="255" t="s">
        <v>27</v>
      </c>
      <c r="G27" s="255" t="s">
        <v>747</v>
      </c>
      <c r="H27" s="255" t="s">
        <v>747</v>
      </c>
      <c r="I27" s="255" t="s">
        <v>32</v>
      </c>
      <c r="J27" s="255" t="s">
        <v>748</v>
      </c>
      <c r="K27" s="256">
        <v>163163000</v>
      </c>
      <c r="L27" s="256">
        <v>174461000</v>
      </c>
      <c r="M27" s="256">
        <v>78055000</v>
      </c>
      <c r="N27" s="256">
        <v>1649543.96</v>
      </c>
      <c r="O27" s="256">
        <v>159676000</v>
      </c>
      <c r="P27" s="257">
        <v>14785000</v>
      </c>
      <c r="Q27" s="257">
        <v>3487000</v>
      </c>
      <c r="R27" s="258">
        <v>1.9987275093000727E-2</v>
      </c>
      <c r="S27" s="258">
        <v>6.4759459134133127E-2</v>
      </c>
      <c r="T27" s="258">
        <v>8.4746734227133858E-2</v>
      </c>
      <c r="U27" s="259">
        <v>43.194947008503064</v>
      </c>
      <c r="V27" s="259">
        <v>107.91360841423948</v>
      </c>
      <c r="W27" s="260">
        <v>0.99823308148421153</v>
      </c>
      <c r="X27" s="259">
        <v>16.316326860841425</v>
      </c>
      <c r="Y27" s="257">
        <v>78785000</v>
      </c>
      <c r="Z27" s="258">
        <v>0.21637705824327108</v>
      </c>
      <c r="AA27" s="260">
        <v>7.7435810810810812</v>
      </c>
      <c r="AB27" s="258">
        <v>0.29891036293412854</v>
      </c>
      <c r="AC27" s="258">
        <v>0</v>
      </c>
      <c r="AD27" s="262"/>
      <c r="AE27" s="263"/>
      <c r="AF27" s="263"/>
      <c r="AG27" s="263"/>
      <c r="AH27" s="263"/>
      <c r="AI27" s="263"/>
      <c r="AJ27" s="263"/>
    </row>
    <row r="28" spans="1:36" ht="30" customHeight="1" x14ac:dyDescent="0.3">
      <c r="A28" s="191" t="s">
        <v>92</v>
      </c>
      <c r="B28" s="191" t="s">
        <v>90</v>
      </c>
      <c r="C28" s="191">
        <v>98</v>
      </c>
      <c r="D28" s="191">
        <v>16665</v>
      </c>
      <c r="E28" s="191" t="s">
        <v>77</v>
      </c>
      <c r="F28" s="191" t="s">
        <v>27</v>
      </c>
      <c r="G28" s="191" t="s">
        <v>747</v>
      </c>
      <c r="H28" s="191" t="s">
        <v>747</v>
      </c>
      <c r="I28" s="191" t="s">
        <v>28</v>
      </c>
      <c r="J28" s="191" t="s">
        <v>748</v>
      </c>
      <c r="K28" s="192">
        <v>103471000</v>
      </c>
      <c r="L28" s="192">
        <v>106562000</v>
      </c>
      <c r="M28" s="192">
        <v>40047964</v>
      </c>
      <c r="N28" s="192">
        <v>1153036</v>
      </c>
      <c r="O28" s="192">
        <v>91127000</v>
      </c>
      <c r="P28" s="193">
        <v>15435000</v>
      </c>
      <c r="Q28" s="193">
        <v>12344000</v>
      </c>
      <c r="R28" s="194">
        <v>0.11583866669169122</v>
      </c>
      <c r="S28" s="194">
        <v>2.9006587714194555E-2</v>
      </c>
      <c r="T28" s="194">
        <v>0.14484525440588578</v>
      </c>
      <c r="U28" s="195">
        <v>37.581492546475815</v>
      </c>
      <c r="V28" s="195">
        <v>48.438885937355636</v>
      </c>
      <c r="W28" s="196">
        <v>2.6146889248973131</v>
      </c>
      <c r="X28" s="195">
        <v>96.873556315254547</v>
      </c>
      <c r="Y28" s="193">
        <v>113196000</v>
      </c>
      <c r="Z28" s="194">
        <v>0.22735284191052388</v>
      </c>
      <c r="AA28" s="196">
        <v>8.5429350295320301</v>
      </c>
      <c r="AB28" s="194">
        <v>0.57925359615591276</v>
      </c>
      <c r="AC28" s="194">
        <v>0.35188805297211195</v>
      </c>
    </row>
    <row r="29" spans="1:36" ht="30" customHeight="1" x14ac:dyDescent="0.3">
      <c r="A29" s="255" t="s">
        <v>173</v>
      </c>
      <c r="B29" s="255" t="s">
        <v>174</v>
      </c>
      <c r="C29" s="255">
        <v>99</v>
      </c>
      <c r="D29" s="255">
        <v>22350</v>
      </c>
      <c r="E29" s="255" t="s">
        <v>77</v>
      </c>
      <c r="F29" s="255" t="s">
        <v>24</v>
      </c>
      <c r="G29" s="255" t="s">
        <v>78</v>
      </c>
      <c r="H29" s="255" t="s">
        <v>747</v>
      </c>
      <c r="I29" s="255" t="s">
        <v>31</v>
      </c>
      <c r="J29" s="255" t="s">
        <v>748</v>
      </c>
      <c r="K29" s="256">
        <v>84940000</v>
      </c>
      <c r="L29" s="256">
        <v>84940000</v>
      </c>
      <c r="M29" s="256">
        <v>51312000</v>
      </c>
      <c r="N29" s="256">
        <v>1622000</v>
      </c>
      <c r="O29" s="256">
        <v>95976000</v>
      </c>
      <c r="P29" s="257">
        <v>-11036000</v>
      </c>
      <c r="Q29" s="257">
        <v>-11036000</v>
      </c>
      <c r="R29" s="258">
        <v>-0.12992700729927006</v>
      </c>
      <c r="S29" s="258">
        <v>0</v>
      </c>
      <c r="T29" s="258">
        <v>-0.12992700729927006</v>
      </c>
      <c r="U29" s="259">
        <v>43.956876790830947</v>
      </c>
      <c r="V29" s="259">
        <v>885.57914466112368</v>
      </c>
      <c r="W29" s="260">
        <v>1.4381951117332368</v>
      </c>
      <c r="X29" s="259">
        <v>1.9404452021641623</v>
      </c>
      <c r="Y29" s="257">
        <v>-48308000</v>
      </c>
      <c r="Z29" s="258">
        <v>-1.331290550970902E-2</v>
      </c>
      <c r="AA29" s="260">
        <v>-0.97418244406196208</v>
      </c>
      <c r="AB29" s="258">
        <v>-8.4865967355729793E-2</v>
      </c>
      <c r="AC29" s="258">
        <v>1.1901665157658545</v>
      </c>
      <c r="AD29" s="262"/>
      <c r="AE29" s="263"/>
      <c r="AF29" s="263"/>
      <c r="AG29" s="263"/>
      <c r="AH29" s="263"/>
      <c r="AI29" s="263"/>
      <c r="AJ29" s="263"/>
    </row>
    <row r="30" spans="1:36" ht="30" customHeight="1" x14ac:dyDescent="0.3">
      <c r="A30" s="191" t="s">
        <v>97</v>
      </c>
      <c r="B30" s="191" t="s">
        <v>90</v>
      </c>
      <c r="C30" s="191">
        <v>100</v>
      </c>
      <c r="D30" s="191">
        <v>16665</v>
      </c>
      <c r="E30" s="191" t="s">
        <v>77</v>
      </c>
      <c r="F30" s="191" t="s">
        <v>30</v>
      </c>
      <c r="G30" s="191" t="s">
        <v>747</v>
      </c>
      <c r="H30" s="191" t="s">
        <v>747</v>
      </c>
      <c r="I30" s="191" t="s">
        <v>28</v>
      </c>
      <c r="J30" s="191" t="s">
        <v>748</v>
      </c>
      <c r="K30" s="192">
        <v>187333000</v>
      </c>
      <c r="L30" s="192">
        <v>198159000</v>
      </c>
      <c r="M30" s="192">
        <v>82502446</v>
      </c>
      <c r="N30" s="192">
        <v>9384554</v>
      </c>
      <c r="O30" s="192">
        <v>199087000</v>
      </c>
      <c r="P30" s="193">
        <v>-928000</v>
      </c>
      <c r="Q30" s="193">
        <v>-11754000</v>
      </c>
      <c r="R30" s="194">
        <v>-5.931600381511816E-2</v>
      </c>
      <c r="S30" s="194">
        <v>5.4632895805893249E-2</v>
      </c>
      <c r="T30" s="194">
        <v>-4.6831080092249152E-3</v>
      </c>
      <c r="U30" s="195">
        <v>39.968318187834875</v>
      </c>
      <c r="V30" s="195">
        <v>34.155952393879836</v>
      </c>
      <c r="W30" s="196">
        <v>4.3166556795708217</v>
      </c>
      <c r="X30" s="195">
        <v>134.41709921923356</v>
      </c>
      <c r="Y30" s="193">
        <v>252978000</v>
      </c>
      <c r="Z30" s="194">
        <v>4.6600783275936419E-2</v>
      </c>
      <c r="AA30" s="196">
        <v>1.8508575689783744</v>
      </c>
      <c r="AB30" s="194">
        <v>0.53665593968565772</v>
      </c>
      <c r="AC30" s="194">
        <v>0.36296588124192514</v>
      </c>
    </row>
    <row r="31" spans="1:36" ht="30" customHeight="1" x14ac:dyDescent="0.3">
      <c r="A31" s="255" t="s">
        <v>148</v>
      </c>
      <c r="B31" s="255" t="s">
        <v>141</v>
      </c>
      <c r="C31" s="255">
        <v>101</v>
      </c>
      <c r="D31" s="255">
        <v>3791</v>
      </c>
      <c r="E31" s="255" t="s">
        <v>77</v>
      </c>
      <c r="F31" s="255" t="s">
        <v>27</v>
      </c>
      <c r="G31" s="255" t="s">
        <v>747</v>
      </c>
      <c r="H31" s="255" t="s">
        <v>747</v>
      </c>
      <c r="I31" s="255" t="s">
        <v>23</v>
      </c>
      <c r="J31" s="255" t="s">
        <v>748</v>
      </c>
      <c r="K31" s="256">
        <v>46580000</v>
      </c>
      <c r="L31" s="256">
        <v>52065000</v>
      </c>
      <c r="M31" s="256">
        <v>21485102.884</v>
      </c>
      <c r="N31" s="256">
        <v>4458897.1160000004</v>
      </c>
      <c r="O31" s="256">
        <v>51144000</v>
      </c>
      <c r="P31" s="257">
        <v>921000</v>
      </c>
      <c r="Q31" s="257">
        <v>-4564000</v>
      </c>
      <c r="R31" s="258">
        <v>-8.7659656198982042E-2</v>
      </c>
      <c r="S31" s="258">
        <v>0.10534908287717276</v>
      </c>
      <c r="T31" s="258">
        <v>1.7689426678190723E-2</v>
      </c>
      <c r="U31" s="259">
        <v>37.597881940092748</v>
      </c>
      <c r="V31" s="259">
        <v>15.87155388471178</v>
      </c>
      <c r="W31" s="260">
        <v>5.8836542870243012</v>
      </c>
      <c r="X31" s="259">
        <v>28.322185672514621</v>
      </c>
      <c r="Y31" s="257">
        <v>197048000</v>
      </c>
      <c r="Z31" s="258">
        <v>0.41205387867466325</v>
      </c>
      <c r="AA31" s="260">
        <v>28.05298013245033</v>
      </c>
      <c r="AB31" s="258">
        <v>0.9416059789361011</v>
      </c>
      <c r="AC31" s="258">
        <v>1.0940240730659892E-2</v>
      </c>
      <c r="AD31" s="262"/>
      <c r="AE31" s="263"/>
      <c r="AF31" s="263"/>
      <c r="AG31" s="263"/>
      <c r="AH31" s="263"/>
      <c r="AI31" s="263"/>
      <c r="AJ31" s="263"/>
    </row>
    <row r="32" spans="1:36" ht="30" customHeight="1" x14ac:dyDescent="0.3">
      <c r="A32" s="191" t="s">
        <v>98</v>
      </c>
      <c r="B32" s="191" t="s">
        <v>90</v>
      </c>
      <c r="C32" s="191">
        <v>103</v>
      </c>
      <c r="D32" s="191">
        <v>16665</v>
      </c>
      <c r="E32" s="191" t="s">
        <v>77</v>
      </c>
      <c r="F32" s="191" t="s">
        <v>99</v>
      </c>
      <c r="G32" s="191" t="s">
        <v>747</v>
      </c>
      <c r="H32" s="191" t="s">
        <v>747</v>
      </c>
      <c r="I32" s="191" t="s">
        <v>28</v>
      </c>
      <c r="J32" s="191" t="s">
        <v>748</v>
      </c>
      <c r="K32" s="192">
        <v>101764000</v>
      </c>
      <c r="L32" s="192">
        <v>105305000</v>
      </c>
      <c r="M32" s="192">
        <v>40968652</v>
      </c>
      <c r="N32" s="192">
        <v>590348</v>
      </c>
      <c r="O32" s="192">
        <v>107994000</v>
      </c>
      <c r="P32" s="193">
        <v>-2689000</v>
      </c>
      <c r="Q32" s="193">
        <v>-6230000</v>
      </c>
      <c r="R32" s="194">
        <v>-5.9161483310384122E-2</v>
      </c>
      <c r="S32" s="194">
        <v>3.3626133611889271E-2</v>
      </c>
      <c r="T32" s="194">
        <v>-2.5535349698494848E-2</v>
      </c>
      <c r="U32" s="195">
        <v>36.201644711543743</v>
      </c>
      <c r="V32" s="195">
        <v>37.350514265791155</v>
      </c>
      <c r="W32" s="196">
        <v>5.9357313331060348</v>
      </c>
      <c r="X32" s="195">
        <v>162.29586747244659</v>
      </c>
      <c r="Y32" s="193">
        <v>176713000</v>
      </c>
      <c r="Z32" s="194">
        <v>2.9031474210586897E-3</v>
      </c>
      <c r="AA32" s="196">
        <v>0.40714741544352268</v>
      </c>
      <c r="AB32" s="194">
        <v>0.63792082710621123</v>
      </c>
      <c r="AC32" s="194">
        <v>0.2919692063102523</v>
      </c>
    </row>
    <row r="33" spans="1:36" ht="30" customHeight="1" x14ac:dyDescent="0.3">
      <c r="A33" s="255" t="s">
        <v>193</v>
      </c>
      <c r="B33" s="255" t="s">
        <v>190</v>
      </c>
      <c r="C33" s="255">
        <v>104</v>
      </c>
      <c r="D33" s="255">
        <v>12775</v>
      </c>
      <c r="E33" s="255" t="s">
        <v>77</v>
      </c>
      <c r="F33" s="255" t="s">
        <v>22</v>
      </c>
      <c r="G33" s="255" t="s">
        <v>78</v>
      </c>
      <c r="H33" s="255" t="s">
        <v>78</v>
      </c>
      <c r="I33" s="255" t="s">
        <v>28</v>
      </c>
      <c r="J33" s="255" t="s">
        <v>748</v>
      </c>
      <c r="K33" s="256">
        <v>823395000</v>
      </c>
      <c r="L33" s="256">
        <v>821662000</v>
      </c>
      <c r="M33" s="256">
        <v>273823000</v>
      </c>
      <c r="N33" s="256">
        <v>1102103</v>
      </c>
      <c r="O33" s="256">
        <v>784165000</v>
      </c>
      <c r="P33" s="257">
        <v>37497000</v>
      </c>
      <c r="Q33" s="257">
        <v>39230000</v>
      </c>
      <c r="R33" s="258">
        <v>4.7744693073307518E-2</v>
      </c>
      <c r="S33" s="258">
        <v>-2.1091397679337733E-3</v>
      </c>
      <c r="T33" s="258">
        <v>4.5635553305373742E-2</v>
      </c>
      <c r="U33" s="259">
        <v>59.788933515833762</v>
      </c>
      <c r="V33" s="259">
        <v>57.496808179432641</v>
      </c>
      <c r="W33" s="260">
        <v>2.288454441895166</v>
      </c>
      <c r="X33" s="259">
        <v>-3.4105322229983752</v>
      </c>
      <c r="Y33" s="257">
        <v>-70878000</v>
      </c>
      <c r="Z33" s="258">
        <v>5.4337928507253629E-2</v>
      </c>
      <c r="AA33" s="260">
        <v>2.199918910554008</v>
      </c>
      <c r="AB33" s="258">
        <v>-6.4199923914421836E-2</v>
      </c>
      <c r="AC33" s="258">
        <v>1.1224157520209186</v>
      </c>
      <c r="AD33" s="262"/>
      <c r="AE33" s="263"/>
      <c r="AF33" s="263"/>
      <c r="AG33" s="263"/>
      <c r="AH33" s="263"/>
      <c r="AI33" s="263"/>
      <c r="AJ33" s="263"/>
    </row>
    <row r="34" spans="1:36" ht="30" customHeight="1" x14ac:dyDescent="0.3">
      <c r="A34" s="191" t="s">
        <v>149</v>
      </c>
      <c r="B34" s="191" t="s">
        <v>141</v>
      </c>
      <c r="C34" s="191">
        <v>105</v>
      </c>
      <c r="D34" s="191">
        <v>3791</v>
      </c>
      <c r="E34" s="191" t="s">
        <v>77</v>
      </c>
      <c r="F34" s="191" t="s">
        <v>27</v>
      </c>
      <c r="G34" s="191" t="s">
        <v>747</v>
      </c>
      <c r="H34" s="191" t="s">
        <v>747</v>
      </c>
      <c r="I34" s="191" t="s">
        <v>28</v>
      </c>
      <c r="J34" s="191" t="s">
        <v>748</v>
      </c>
      <c r="K34" s="192">
        <v>400359000</v>
      </c>
      <c r="L34" s="192">
        <v>397553000</v>
      </c>
      <c r="M34" s="192">
        <v>203876963.03999999</v>
      </c>
      <c r="N34" s="192">
        <v>7575036.9600000009</v>
      </c>
      <c r="O34" s="192">
        <v>405818000</v>
      </c>
      <c r="P34" s="193">
        <v>-8265000</v>
      </c>
      <c r="Q34" s="193">
        <v>-5459000</v>
      </c>
      <c r="R34" s="194">
        <v>-1.3731502466337822E-2</v>
      </c>
      <c r="S34" s="194">
        <v>-7.0581784064011593E-3</v>
      </c>
      <c r="T34" s="194">
        <v>-2.078968087273898E-2</v>
      </c>
      <c r="U34" s="195">
        <v>41.163679521636439</v>
      </c>
      <c r="V34" s="195">
        <v>40.219410468305291</v>
      </c>
      <c r="W34" s="196">
        <v>1.5145930354174235</v>
      </c>
      <c r="X34" s="195">
        <v>-2.8669746747915896</v>
      </c>
      <c r="Y34" s="193">
        <v>325553000</v>
      </c>
      <c r="Z34" s="194">
        <v>6.4394911891702655E-2</v>
      </c>
      <c r="AA34" s="196">
        <v>0.88756938756938752</v>
      </c>
      <c r="AB34" s="194">
        <v>0.51222129392310223</v>
      </c>
      <c r="AC34" s="194">
        <v>0.46138154407213849</v>
      </c>
    </row>
    <row r="35" spans="1:36" ht="30" customHeight="1" x14ac:dyDescent="0.3">
      <c r="A35" s="255" t="s">
        <v>80</v>
      </c>
      <c r="B35" s="255" t="s">
        <v>74</v>
      </c>
      <c r="C35" s="255">
        <v>106</v>
      </c>
      <c r="D35" s="255">
        <v>4066</v>
      </c>
      <c r="E35" s="255" t="s">
        <v>77</v>
      </c>
      <c r="F35" s="255" t="s">
        <v>24</v>
      </c>
      <c r="G35" s="255" t="s">
        <v>78</v>
      </c>
      <c r="H35" s="255" t="s">
        <v>747</v>
      </c>
      <c r="I35" s="255" t="s">
        <v>35</v>
      </c>
      <c r="J35" s="255" t="s">
        <v>748</v>
      </c>
      <c r="K35" s="256">
        <v>45841000</v>
      </c>
      <c r="L35" s="256">
        <v>45836000</v>
      </c>
      <c r="M35" s="256">
        <v>19292000</v>
      </c>
      <c r="N35" s="256" t="s">
        <v>747</v>
      </c>
      <c r="O35" s="256">
        <v>43989000</v>
      </c>
      <c r="P35" s="257">
        <v>1847000</v>
      </c>
      <c r="Q35" s="257">
        <v>1852000</v>
      </c>
      <c r="R35" s="258">
        <v>4.0404921895453354E-2</v>
      </c>
      <c r="S35" s="258">
        <v>-1.0908456235273584E-4</v>
      </c>
      <c r="T35" s="258">
        <v>4.0295837333100618E-2</v>
      </c>
      <c r="U35" s="259">
        <v>40.681139725539119</v>
      </c>
      <c r="V35" s="259">
        <v>42.704328931973926</v>
      </c>
      <c r="W35" s="260">
        <v>1.4278954802259887</v>
      </c>
      <c r="X35" s="259">
        <v>24.014648647357991</v>
      </c>
      <c r="Y35" s="257">
        <v>32374000</v>
      </c>
      <c r="Z35" s="258">
        <v>0.28149717514124295</v>
      </c>
      <c r="AA35" s="260">
        <v>10.141057934508817</v>
      </c>
      <c r="AB35" s="258">
        <v>0.65622086188024487</v>
      </c>
      <c r="AC35" s="258">
        <v>0</v>
      </c>
      <c r="AD35" s="262"/>
      <c r="AE35" s="263"/>
      <c r="AF35" s="263"/>
      <c r="AG35" s="263"/>
      <c r="AH35" s="263"/>
      <c r="AI35" s="263"/>
      <c r="AJ35" s="263"/>
    </row>
    <row r="36" spans="1:36" ht="30" customHeight="1" x14ac:dyDescent="0.3">
      <c r="A36" s="191" t="s">
        <v>177</v>
      </c>
      <c r="B36" s="191" t="s">
        <v>174</v>
      </c>
      <c r="C36" s="191">
        <v>114</v>
      </c>
      <c r="D36" s="191">
        <v>22350</v>
      </c>
      <c r="E36" s="191" t="s">
        <v>77</v>
      </c>
      <c r="F36" s="191" t="s">
        <v>24</v>
      </c>
      <c r="G36" s="191" t="s">
        <v>78</v>
      </c>
      <c r="H36" s="191" t="s">
        <v>747</v>
      </c>
      <c r="I36" s="191" t="s">
        <v>634</v>
      </c>
      <c r="J36" s="191" t="s">
        <v>748</v>
      </c>
      <c r="K36" s="192">
        <v>140674000</v>
      </c>
      <c r="L36" s="192">
        <v>140674000</v>
      </c>
      <c r="M36" s="192">
        <v>74470000</v>
      </c>
      <c r="N36" s="192">
        <v>3070000</v>
      </c>
      <c r="O36" s="192">
        <v>159680000</v>
      </c>
      <c r="P36" s="193">
        <v>-19006000</v>
      </c>
      <c r="Q36" s="193">
        <v>-19006000</v>
      </c>
      <c r="R36" s="194">
        <v>-0.13510670059854699</v>
      </c>
      <c r="S36" s="194">
        <v>0</v>
      </c>
      <c r="T36" s="194">
        <v>-0.13510670059854699</v>
      </c>
      <c r="U36" s="195">
        <v>50.951902517859565</v>
      </c>
      <c r="V36" s="195">
        <v>641.32918584999118</v>
      </c>
      <c r="W36" s="196">
        <v>1.0422475459362173</v>
      </c>
      <c r="X36" s="195">
        <v>2.0562581347009341</v>
      </c>
      <c r="Y36" s="193">
        <v>-107328000</v>
      </c>
      <c r="Z36" s="194">
        <v>-1.7808552558337024E-2</v>
      </c>
      <c r="AA36" s="196">
        <v>-3.4840286831812257</v>
      </c>
      <c r="AB36" s="194">
        <v>-0.15971309737278741</v>
      </c>
      <c r="AC36" s="194">
        <v>1.8895003356511217</v>
      </c>
    </row>
    <row r="37" spans="1:36" ht="30" customHeight="1" x14ac:dyDescent="0.3">
      <c r="A37" s="255" t="s">
        <v>168</v>
      </c>
      <c r="B37" s="255" t="s">
        <v>167</v>
      </c>
      <c r="C37" s="255">
        <v>122</v>
      </c>
      <c r="D37" s="255">
        <v>12759</v>
      </c>
      <c r="E37" s="255" t="s">
        <v>77</v>
      </c>
      <c r="F37" s="255" t="s">
        <v>24</v>
      </c>
      <c r="G37" s="255" t="s">
        <v>78</v>
      </c>
      <c r="H37" s="255" t="s">
        <v>747</v>
      </c>
      <c r="I37" s="255" t="s">
        <v>31</v>
      </c>
      <c r="J37" s="255" t="s">
        <v>748</v>
      </c>
      <c r="K37" s="256">
        <v>451014469</v>
      </c>
      <c r="L37" s="256">
        <v>452825645</v>
      </c>
      <c r="M37" s="256">
        <v>265795341</v>
      </c>
      <c r="N37" s="256">
        <v>2319797.58</v>
      </c>
      <c r="O37" s="256">
        <v>436214147</v>
      </c>
      <c r="P37" s="257">
        <v>16611498</v>
      </c>
      <c r="Q37" s="257">
        <v>14800322</v>
      </c>
      <c r="R37" s="258">
        <v>3.2684372370297178E-2</v>
      </c>
      <c r="S37" s="258">
        <v>3.999720466361838E-3</v>
      </c>
      <c r="T37" s="258">
        <v>3.6684092836659021E-2</v>
      </c>
      <c r="U37" s="259">
        <v>53.548954554291917</v>
      </c>
      <c r="V37" s="259">
        <v>44.53619058261102</v>
      </c>
      <c r="W37" s="260">
        <v>1.7386050386339653</v>
      </c>
      <c r="X37" s="259">
        <v>10.719817272348262</v>
      </c>
      <c r="Y37" s="257">
        <v>389481825</v>
      </c>
      <c r="Z37" s="258">
        <v>0.13503612572507115</v>
      </c>
      <c r="AA37" s="260">
        <v>1.4579715470190888</v>
      </c>
      <c r="AB37" s="258">
        <v>0.56629928335167312</v>
      </c>
      <c r="AC37" s="258">
        <v>0.28848881020150885</v>
      </c>
      <c r="AD37" s="262"/>
      <c r="AE37" s="263"/>
      <c r="AF37" s="263"/>
      <c r="AG37" s="263"/>
      <c r="AH37" s="263"/>
      <c r="AI37" s="263"/>
      <c r="AJ37" s="263"/>
    </row>
    <row r="38" spans="1:36" ht="30" customHeight="1" x14ac:dyDescent="0.3">
      <c r="A38" s="191" t="s">
        <v>693</v>
      </c>
      <c r="B38" s="191" t="s">
        <v>117</v>
      </c>
      <c r="C38" s="191">
        <v>126</v>
      </c>
      <c r="D38" s="191">
        <v>14287</v>
      </c>
      <c r="E38" s="191" t="s">
        <v>77</v>
      </c>
      <c r="F38" s="191" t="s">
        <v>30</v>
      </c>
      <c r="G38" s="191" t="s">
        <v>78</v>
      </c>
      <c r="H38" s="191" t="s">
        <v>78</v>
      </c>
      <c r="I38" s="191" t="s">
        <v>28</v>
      </c>
      <c r="J38" s="191" t="s">
        <v>748</v>
      </c>
      <c r="K38" s="192">
        <v>168626802</v>
      </c>
      <c r="L38" s="192">
        <v>168718892</v>
      </c>
      <c r="M38" s="192">
        <v>99320999</v>
      </c>
      <c r="N38" s="192">
        <v>5527435</v>
      </c>
      <c r="O38" s="192">
        <v>212130089</v>
      </c>
      <c r="P38" s="193">
        <v>-43411197</v>
      </c>
      <c r="Q38" s="193">
        <v>-43503287</v>
      </c>
      <c r="R38" s="194">
        <v>-0.2578447883595632</v>
      </c>
      <c r="S38" s="194">
        <v>5.458191368397559E-4</v>
      </c>
      <c r="T38" s="194">
        <v>-0.25729896922272344</v>
      </c>
      <c r="U38" s="195">
        <v>91.057310779387691</v>
      </c>
      <c r="V38" s="195">
        <v>277.73656010612802</v>
      </c>
      <c r="W38" s="196">
        <v>0.31584366660966523</v>
      </c>
      <c r="X38" s="195">
        <v>6.0140752070228176</v>
      </c>
      <c r="Y38" s="193">
        <v>-134906225</v>
      </c>
      <c r="Z38" s="194">
        <v>-0.12607966539088122</v>
      </c>
      <c r="AA38" s="196">
        <v>-31.543431002333186</v>
      </c>
      <c r="AB38" s="194">
        <v>-0.71629887407844561</v>
      </c>
      <c r="AC38" s="194">
        <v>-4.8883155811765992E-2</v>
      </c>
    </row>
    <row r="39" spans="1:36" ht="30" customHeight="1" x14ac:dyDescent="0.3">
      <c r="A39" s="255" t="s">
        <v>542</v>
      </c>
      <c r="B39" s="255" t="s">
        <v>510</v>
      </c>
      <c r="C39" s="255">
        <v>127</v>
      </c>
      <c r="D39" s="255">
        <v>3888</v>
      </c>
      <c r="E39" s="255" t="s">
        <v>77</v>
      </c>
      <c r="F39" s="255" t="s">
        <v>30</v>
      </c>
      <c r="G39" s="255" t="s">
        <v>78</v>
      </c>
      <c r="H39" s="255" t="s">
        <v>78</v>
      </c>
      <c r="I39" s="255" t="s">
        <v>25</v>
      </c>
      <c r="J39" s="255" t="s">
        <v>749</v>
      </c>
      <c r="K39" s="256">
        <v>106940712</v>
      </c>
      <c r="L39" s="256">
        <v>106934603</v>
      </c>
      <c r="M39" s="256">
        <v>41083207.18</v>
      </c>
      <c r="N39" s="256">
        <v>2207161.9</v>
      </c>
      <c r="O39" s="256">
        <v>105712684</v>
      </c>
      <c r="P39" s="257">
        <v>1221919</v>
      </c>
      <c r="Q39" s="257">
        <v>1228028</v>
      </c>
      <c r="R39" s="258">
        <v>1.1483916015473494E-2</v>
      </c>
      <c r="S39" s="258">
        <v>-5.7128374058675845E-5</v>
      </c>
      <c r="T39" s="258">
        <v>1.142678764141482E-2</v>
      </c>
      <c r="U39" s="259">
        <v>102.92019554812993</v>
      </c>
      <c r="V39" s="259">
        <v>61.609111633346316</v>
      </c>
      <c r="W39" s="260">
        <v>2.4781524496535265</v>
      </c>
      <c r="X39" s="259">
        <v>0</v>
      </c>
      <c r="Y39" s="257">
        <v>238154043</v>
      </c>
      <c r="Z39" s="258">
        <v>0.15582080524441164</v>
      </c>
      <c r="AA39" s="260">
        <v>91.206731824243349</v>
      </c>
      <c r="AB39" s="258">
        <v>0.66633123481028744</v>
      </c>
      <c r="AC39" s="258">
        <v>0</v>
      </c>
      <c r="AD39" s="262"/>
      <c r="AE39" s="263"/>
      <c r="AF39" s="263"/>
      <c r="AG39" s="263"/>
      <c r="AH39" s="263"/>
      <c r="AI39" s="263"/>
      <c r="AJ39" s="263"/>
    </row>
    <row r="40" spans="1:36" ht="30" customHeight="1" x14ac:dyDescent="0.3">
      <c r="A40" s="191" t="s">
        <v>181</v>
      </c>
      <c r="B40" s="191" t="s">
        <v>180</v>
      </c>
      <c r="C40" s="191">
        <v>129</v>
      </c>
      <c r="D40" s="191">
        <v>12773</v>
      </c>
      <c r="E40" s="191" t="s">
        <v>77</v>
      </c>
      <c r="F40" s="191" t="s">
        <v>24</v>
      </c>
      <c r="G40" s="191" t="s">
        <v>78</v>
      </c>
      <c r="H40" s="191" t="s">
        <v>747</v>
      </c>
      <c r="I40" s="191" t="s">
        <v>32</v>
      </c>
      <c r="J40" s="191" t="s">
        <v>748</v>
      </c>
      <c r="K40" s="192">
        <v>139809932</v>
      </c>
      <c r="L40" s="192">
        <v>155207696</v>
      </c>
      <c r="M40" s="192">
        <v>75574254</v>
      </c>
      <c r="N40" s="192">
        <v>1132157.3699999999</v>
      </c>
      <c r="O40" s="192">
        <v>138212203</v>
      </c>
      <c r="P40" s="193">
        <v>16995493</v>
      </c>
      <c r="Q40" s="193">
        <v>1597729</v>
      </c>
      <c r="R40" s="194">
        <v>1.0294135156803049E-2</v>
      </c>
      <c r="S40" s="194">
        <v>9.920747744364429E-2</v>
      </c>
      <c r="T40" s="194">
        <v>0.10950161260044734</v>
      </c>
      <c r="U40" s="195">
        <v>40.443427879940408</v>
      </c>
      <c r="V40" s="195">
        <v>45.23990841866496</v>
      </c>
      <c r="W40" s="196">
        <v>1.7455016576998035</v>
      </c>
      <c r="X40" s="195">
        <v>14.080774022097138</v>
      </c>
      <c r="Y40" s="193">
        <v>627141415</v>
      </c>
      <c r="Z40" s="194">
        <v>0.64006882750367122</v>
      </c>
      <c r="AA40" s="196">
        <v>25.469931728182047</v>
      </c>
      <c r="AB40" s="194">
        <v>0.85974835323651855</v>
      </c>
      <c r="AC40" s="194">
        <v>0</v>
      </c>
    </row>
    <row r="41" spans="1:36" ht="30" customHeight="1" x14ac:dyDescent="0.3">
      <c r="A41" s="255" t="s">
        <v>200</v>
      </c>
      <c r="B41" s="255" t="s">
        <v>160</v>
      </c>
      <c r="C41" s="255">
        <v>133</v>
      </c>
      <c r="D41" s="255">
        <v>6755</v>
      </c>
      <c r="E41" s="255" t="s">
        <v>77</v>
      </c>
      <c r="F41" s="255" t="s">
        <v>24</v>
      </c>
      <c r="G41" s="255" t="s">
        <v>78</v>
      </c>
      <c r="H41" s="255" t="s">
        <v>747</v>
      </c>
      <c r="I41" s="255" t="s">
        <v>32</v>
      </c>
      <c r="J41" s="255" t="s">
        <v>723</v>
      </c>
      <c r="K41" s="256">
        <v>32873000</v>
      </c>
      <c r="L41" s="256">
        <v>33478000</v>
      </c>
      <c r="M41" s="256">
        <v>12630000</v>
      </c>
      <c r="N41" s="256">
        <v>1758380.92</v>
      </c>
      <c r="O41" s="256">
        <v>31634000</v>
      </c>
      <c r="P41" s="257">
        <v>1844000</v>
      </c>
      <c r="Q41" s="257">
        <v>1239000</v>
      </c>
      <c r="R41" s="258">
        <v>3.7009379293864629E-2</v>
      </c>
      <c r="S41" s="258">
        <v>1.807156938885238E-2</v>
      </c>
      <c r="T41" s="258">
        <v>5.5080948682717006E-2</v>
      </c>
      <c r="U41" s="259">
        <v>0</v>
      </c>
      <c r="V41" s="259">
        <v>0</v>
      </c>
      <c r="W41" s="260" t="s">
        <v>747</v>
      </c>
      <c r="X41" s="259">
        <v>0</v>
      </c>
      <c r="Y41" s="257">
        <v>0</v>
      </c>
      <c r="Z41" s="258">
        <v>0</v>
      </c>
      <c r="AA41" s="260">
        <v>12.987394957983193</v>
      </c>
      <c r="AB41" s="258" t="s">
        <v>747</v>
      </c>
      <c r="AC41" s="258">
        <v>0</v>
      </c>
      <c r="AD41" s="262"/>
      <c r="AE41" s="263"/>
      <c r="AF41" s="263"/>
      <c r="AG41" s="263"/>
      <c r="AH41" s="263"/>
      <c r="AI41" s="263"/>
      <c r="AJ41" s="263"/>
    </row>
    <row r="42" spans="1:36" ht="30" customHeight="1" x14ac:dyDescent="0.3">
      <c r="A42" s="191" t="s">
        <v>101</v>
      </c>
      <c r="B42" s="191" t="s">
        <v>90</v>
      </c>
      <c r="C42" s="191">
        <v>138</v>
      </c>
      <c r="D42" s="191">
        <v>16665</v>
      </c>
      <c r="E42" s="191" t="s">
        <v>77</v>
      </c>
      <c r="F42" s="191" t="s">
        <v>27</v>
      </c>
      <c r="G42" s="191" t="s">
        <v>747</v>
      </c>
      <c r="H42" s="191" t="s">
        <v>747</v>
      </c>
      <c r="I42" s="191" t="s">
        <v>33</v>
      </c>
      <c r="J42" s="191" t="s">
        <v>748</v>
      </c>
      <c r="K42" s="192">
        <v>205728000</v>
      </c>
      <c r="L42" s="192">
        <v>211268000</v>
      </c>
      <c r="M42" s="192">
        <v>87993470</v>
      </c>
      <c r="N42" s="192">
        <v>501530</v>
      </c>
      <c r="O42" s="192">
        <v>179369000</v>
      </c>
      <c r="P42" s="193">
        <v>31899000</v>
      </c>
      <c r="Q42" s="193">
        <v>26359000</v>
      </c>
      <c r="R42" s="194">
        <v>0.12476570043735918</v>
      </c>
      <c r="S42" s="194">
        <v>2.6222617717780259E-2</v>
      </c>
      <c r="T42" s="194">
        <v>0.15098831815513944</v>
      </c>
      <c r="U42" s="195">
        <v>38.094381987187539</v>
      </c>
      <c r="V42" s="195">
        <v>47.749565921644489</v>
      </c>
      <c r="W42" s="196">
        <v>9.4018342713129819</v>
      </c>
      <c r="X42" s="195">
        <v>273.07902848020137</v>
      </c>
      <c r="Y42" s="193">
        <v>524895000</v>
      </c>
      <c r="Z42" s="194">
        <v>0.25580711122879796</v>
      </c>
      <c r="AA42" s="196">
        <v>7.0371660859465734</v>
      </c>
      <c r="AB42" s="194">
        <v>0.76008949128980408</v>
      </c>
      <c r="AC42" s="194">
        <v>0.1445630487525113</v>
      </c>
    </row>
    <row r="43" spans="1:36" ht="30" customHeight="1" x14ac:dyDescent="0.3">
      <c r="A43" s="255" t="s">
        <v>150</v>
      </c>
      <c r="B43" s="255" t="s">
        <v>141</v>
      </c>
      <c r="C43" s="255">
        <v>345</v>
      </c>
      <c r="D43" s="255">
        <v>3791</v>
      </c>
      <c r="E43" s="255" t="s">
        <v>77</v>
      </c>
      <c r="F43" s="255" t="s">
        <v>24</v>
      </c>
      <c r="G43" s="255" t="s">
        <v>78</v>
      </c>
      <c r="H43" s="255" t="s">
        <v>747</v>
      </c>
      <c r="I43" s="255" t="s">
        <v>33</v>
      </c>
      <c r="J43" s="255" t="s">
        <v>748</v>
      </c>
      <c r="K43" s="256">
        <v>419546000</v>
      </c>
      <c r="L43" s="256">
        <v>413639000</v>
      </c>
      <c r="M43" s="256">
        <v>183704468.56999999</v>
      </c>
      <c r="N43" s="256">
        <v>8796531.4299999997</v>
      </c>
      <c r="O43" s="256">
        <v>419271000</v>
      </c>
      <c r="P43" s="257">
        <v>-5632000</v>
      </c>
      <c r="Q43" s="257">
        <v>275000</v>
      </c>
      <c r="R43" s="258">
        <v>6.6483092745123163E-4</v>
      </c>
      <c r="S43" s="258">
        <v>-1.4280568321652455E-2</v>
      </c>
      <c r="T43" s="258">
        <v>-1.3615737394201223E-2</v>
      </c>
      <c r="U43" s="259">
        <v>37.315707305790859</v>
      </c>
      <c r="V43" s="259">
        <v>46.643740214191773</v>
      </c>
      <c r="W43" s="260">
        <v>0.95157733334595329</v>
      </c>
      <c r="X43" s="259">
        <v>-12.140759065572745</v>
      </c>
      <c r="Y43" s="257">
        <v>309302000</v>
      </c>
      <c r="Z43" s="258">
        <v>5.8405645938845223E-2</v>
      </c>
      <c r="AA43" s="260">
        <v>0.92170398292383848</v>
      </c>
      <c r="AB43" s="258">
        <v>0.50184641943899999</v>
      </c>
      <c r="AC43" s="258">
        <v>0.41221443026355525</v>
      </c>
      <c r="AD43" s="262"/>
      <c r="AE43" s="263"/>
      <c r="AF43" s="263"/>
      <c r="AG43" s="263"/>
      <c r="AH43" s="263"/>
      <c r="AI43" s="263"/>
      <c r="AJ43" s="263"/>
    </row>
    <row r="44" spans="1:36" ht="30" customHeight="1" x14ac:dyDescent="0.3">
      <c r="A44" s="191" t="s">
        <v>84</v>
      </c>
      <c r="B44" s="191" t="s">
        <v>85</v>
      </c>
      <c r="C44" s="191">
        <v>3106</v>
      </c>
      <c r="D44" s="191">
        <v>3106</v>
      </c>
      <c r="E44" s="191" t="s">
        <v>75</v>
      </c>
      <c r="F44" s="191" t="s">
        <v>747</v>
      </c>
      <c r="G44" s="191" t="s">
        <v>747</v>
      </c>
      <c r="H44" s="191" t="s">
        <v>747</v>
      </c>
      <c r="I44" s="191" t="s">
        <v>747</v>
      </c>
      <c r="J44" s="191" t="s">
        <v>748</v>
      </c>
      <c r="K44" s="192">
        <v>502589876</v>
      </c>
      <c r="L44" s="192">
        <v>502477315</v>
      </c>
      <c r="M44" s="192">
        <v>268963287</v>
      </c>
      <c r="N44" s="192">
        <v>21701242</v>
      </c>
      <c r="O44" s="192">
        <v>483092181</v>
      </c>
      <c r="P44" s="193">
        <v>19385134</v>
      </c>
      <c r="Q44" s="193">
        <v>19497695</v>
      </c>
      <c r="R44" s="194">
        <v>3.8803134824106439E-2</v>
      </c>
      <c r="S44" s="194">
        <v>-2.2401210291453656E-4</v>
      </c>
      <c r="T44" s="194">
        <v>3.8579122721191898E-2</v>
      </c>
      <c r="U44" s="195">
        <v>34.290464982970015</v>
      </c>
      <c r="V44" s="195">
        <v>39.17533264770919</v>
      </c>
      <c r="W44" s="196">
        <v>2.1107825888421061</v>
      </c>
      <c r="X44" s="195">
        <v>88.906343857765336</v>
      </c>
      <c r="Y44" s="193">
        <v>860553816</v>
      </c>
      <c r="Z44" s="194">
        <v>0.29593579525386149</v>
      </c>
      <c r="AA44" s="196">
        <v>11.172862759620536</v>
      </c>
      <c r="AB44" s="194">
        <v>0.77237387215504105</v>
      </c>
      <c r="AC44" s="194">
        <v>3.4800920265380515E-2</v>
      </c>
    </row>
    <row r="45" spans="1:36" ht="30" customHeight="1" x14ac:dyDescent="0.3">
      <c r="A45" s="255" t="s">
        <v>118</v>
      </c>
      <c r="B45" s="255" t="s">
        <v>117</v>
      </c>
      <c r="C45" s="255">
        <v>3107</v>
      </c>
      <c r="D45" s="255">
        <v>14287</v>
      </c>
      <c r="E45" s="255" t="s">
        <v>77</v>
      </c>
      <c r="F45" s="255" t="s">
        <v>22</v>
      </c>
      <c r="G45" s="255" t="s">
        <v>78</v>
      </c>
      <c r="H45" s="255" t="s">
        <v>78</v>
      </c>
      <c r="I45" s="255" t="s">
        <v>28</v>
      </c>
      <c r="J45" s="255" t="s">
        <v>748</v>
      </c>
      <c r="K45" s="256">
        <v>1519930132</v>
      </c>
      <c r="L45" s="256">
        <v>1540262189</v>
      </c>
      <c r="M45" s="256">
        <v>471585362</v>
      </c>
      <c r="N45" s="256">
        <v>23373325</v>
      </c>
      <c r="O45" s="256">
        <v>1565266404</v>
      </c>
      <c r="P45" s="257">
        <v>-25004215</v>
      </c>
      <c r="Q45" s="257">
        <v>-45336272</v>
      </c>
      <c r="R45" s="258">
        <v>-2.9434126425861382E-2</v>
      </c>
      <c r="S45" s="258">
        <v>1.3200387015408323E-2</v>
      </c>
      <c r="T45" s="258">
        <v>-1.6233739410453061E-2</v>
      </c>
      <c r="U45" s="259">
        <v>47.909508083195973</v>
      </c>
      <c r="V45" s="259">
        <v>73.906508895858423</v>
      </c>
      <c r="W45" s="260">
        <v>1.5456375325407889</v>
      </c>
      <c r="X45" s="259">
        <v>0.52194507032087667</v>
      </c>
      <c r="Y45" s="257">
        <v>1438001619</v>
      </c>
      <c r="Z45" s="258">
        <v>1.9697864246703323E-2</v>
      </c>
      <c r="AA45" s="260">
        <v>1.7319980486968083</v>
      </c>
      <c r="AB45" s="258">
        <v>0.46334042340583426</v>
      </c>
      <c r="AC45" s="258">
        <v>0.46346123462521033</v>
      </c>
      <c r="AD45" s="262"/>
      <c r="AE45" s="263"/>
      <c r="AF45" s="263"/>
      <c r="AG45" s="263"/>
      <c r="AH45" s="263"/>
      <c r="AI45" s="263"/>
      <c r="AJ45" s="263"/>
    </row>
    <row r="46" spans="1:36" ht="30" customHeight="1" x14ac:dyDescent="0.3">
      <c r="A46" s="191" t="s">
        <v>121</v>
      </c>
      <c r="B46" s="191" t="s">
        <v>121</v>
      </c>
      <c r="C46" s="191">
        <v>3108</v>
      </c>
      <c r="D46" s="191">
        <v>13159</v>
      </c>
      <c r="E46" s="191" t="s">
        <v>77</v>
      </c>
      <c r="F46" s="191" t="s">
        <v>30</v>
      </c>
      <c r="G46" s="191" t="s">
        <v>78</v>
      </c>
      <c r="H46" s="191" t="s">
        <v>78</v>
      </c>
      <c r="I46" s="191" t="s">
        <v>28</v>
      </c>
      <c r="J46" s="191" t="s">
        <v>750</v>
      </c>
      <c r="K46" s="192">
        <v>870054609</v>
      </c>
      <c r="L46" s="192">
        <v>882964382</v>
      </c>
      <c r="M46" s="192">
        <v>517223008</v>
      </c>
      <c r="N46" s="192">
        <v>0</v>
      </c>
      <c r="O46" s="192">
        <v>836889798</v>
      </c>
      <c r="P46" s="193">
        <v>46074584</v>
      </c>
      <c r="Q46" s="193">
        <v>33164811</v>
      </c>
      <c r="R46" s="194">
        <v>3.7560757462128294E-2</v>
      </c>
      <c r="S46" s="194">
        <v>1.4620944245517709E-2</v>
      </c>
      <c r="T46" s="194">
        <v>5.2181701707646008E-2</v>
      </c>
      <c r="U46" s="195">
        <v>21.451159861373259</v>
      </c>
      <c r="V46" s="195">
        <v>32.320111121340695</v>
      </c>
      <c r="W46" s="196">
        <v>3.2426612582655157</v>
      </c>
      <c r="X46" s="195">
        <v>65.783374521590119</v>
      </c>
      <c r="Y46" s="193">
        <v>373714316</v>
      </c>
      <c r="Z46" s="194">
        <v>0.36438272981556941</v>
      </c>
      <c r="AA46" s="196">
        <v>5.6799025584862974</v>
      </c>
      <c r="AB46" s="194">
        <v>0.48728294983960907</v>
      </c>
      <c r="AC46" s="194">
        <v>0.16339645949051554</v>
      </c>
    </row>
    <row r="47" spans="1:36" ht="30" customHeight="1" x14ac:dyDescent="0.3">
      <c r="A47" s="255" t="s">
        <v>122</v>
      </c>
      <c r="B47" s="255" t="s">
        <v>123</v>
      </c>
      <c r="C47" s="255">
        <v>3109</v>
      </c>
      <c r="D47" s="255">
        <v>3109</v>
      </c>
      <c r="E47" s="255" t="s">
        <v>75</v>
      </c>
      <c r="F47" s="255" t="s">
        <v>747</v>
      </c>
      <c r="G47" s="255" t="s">
        <v>747</v>
      </c>
      <c r="H47" s="255" t="s">
        <v>747</v>
      </c>
      <c r="I47" s="255" t="s">
        <v>747</v>
      </c>
      <c r="J47" s="255" t="s">
        <v>748</v>
      </c>
      <c r="K47" s="256">
        <v>603820259</v>
      </c>
      <c r="L47" s="256">
        <v>621196712</v>
      </c>
      <c r="M47" s="256">
        <v>353995486.52999997</v>
      </c>
      <c r="N47" s="256">
        <v>23835319.469999999</v>
      </c>
      <c r="O47" s="256">
        <v>627186204</v>
      </c>
      <c r="P47" s="257">
        <v>-5989492</v>
      </c>
      <c r="Q47" s="257">
        <v>-23365945</v>
      </c>
      <c r="R47" s="258">
        <v>-3.7614405467104275E-2</v>
      </c>
      <c r="S47" s="258">
        <v>2.797254503175799E-2</v>
      </c>
      <c r="T47" s="258">
        <v>-9.6418604353462837E-3</v>
      </c>
      <c r="U47" s="259">
        <v>34.007859511097855</v>
      </c>
      <c r="V47" s="259">
        <v>56.229433021990218</v>
      </c>
      <c r="W47" s="260">
        <v>1.3755605499658012</v>
      </c>
      <c r="X47" s="259">
        <v>32.412851925638257</v>
      </c>
      <c r="Y47" s="257">
        <v>1072910510</v>
      </c>
      <c r="Z47" s="258">
        <v>5.7762935466826357E-2</v>
      </c>
      <c r="AA47" s="260">
        <v>1.0430621924035341</v>
      </c>
      <c r="AB47" s="258">
        <v>0.73284487955400512</v>
      </c>
      <c r="AC47" s="258">
        <v>9.4063521695489358E-2</v>
      </c>
      <c r="AD47" s="262"/>
      <c r="AE47" s="263"/>
      <c r="AF47" s="263"/>
      <c r="AG47" s="263"/>
      <c r="AH47" s="263"/>
      <c r="AI47" s="263"/>
      <c r="AJ47" s="263"/>
    </row>
    <row r="48" spans="1:36" ht="30" customHeight="1" x14ac:dyDescent="0.3">
      <c r="A48" s="191" t="s">
        <v>508</v>
      </c>
      <c r="B48" s="191" t="s">
        <v>510</v>
      </c>
      <c r="C48" s="191">
        <v>3110</v>
      </c>
      <c r="D48" s="191">
        <v>3888</v>
      </c>
      <c r="E48" s="191" t="s">
        <v>77</v>
      </c>
      <c r="F48" s="191" t="s">
        <v>24</v>
      </c>
      <c r="G48" s="191" t="s">
        <v>78</v>
      </c>
      <c r="H48" s="191" t="s">
        <v>747</v>
      </c>
      <c r="I48" s="191" t="s">
        <v>32</v>
      </c>
      <c r="J48" s="191" t="s">
        <v>749</v>
      </c>
      <c r="K48" s="192">
        <v>47319647</v>
      </c>
      <c r="L48" s="192">
        <v>47369323</v>
      </c>
      <c r="M48" s="192">
        <v>25769710.800000001</v>
      </c>
      <c r="N48" s="192">
        <v>675431.2</v>
      </c>
      <c r="O48" s="192">
        <v>54285370</v>
      </c>
      <c r="P48" s="193">
        <v>-6916047</v>
      </c>
      <c r="Q48" s="193">
        <v>-6965723</v>
      </c>
      <c r="R48" s="194">
        <v>-0.14705135220108592</v>
      </c>
      <c r="S48" s="194">
        <v>1.0486955872263575E-3</v>
      </c>
      <c r="T48" s="194">
        <v>-0.14600265661385955</v>
      </c>
      <c r="U48" s="195">
        <v>109.01751743460349</v>
      </c>
      <c r="V48" s="195">
        <v>92.382169789137023</v>
      </c>
      <c r="W48" s="196">
        <v>2.4167383097079691</v>
      </c>
      <c r="X48" s="195">
        <v>3.5355446612132623E-4</v>
      </c>
      <c r="Y48" s="193">
        <v>-178365567</v>
      </c>
      <c r="Z48" s="194">
        <v>-0.16262491989909966</v>
      </c>
      <c r="AA48" s="196">
        <v>-160.11757791764617</v>
      </c>
      <c r="AB48" s="194">
        <v>-0.67211580852618158</v>
      </c>
      <c r="AC48" s="194">
        <v>0</v>
      </c>
    </row>
    <row r="49" spans="1:36" ht="30" customHeight="1" x14ac:dyDescent="0.3">
      <c r="A49" s="255" t="s">
        <v>192</v>
      </c>
      <c r="B49" s="255" t="s">
        <v>190</v>
      </c>
      <c r="C49" s="255">
        <v>3111</v>
      </c>
      <c r="D49" s="255">
        <v>12775</v>
      </c>
      <c r="E49" s="255" t="s">
        <v>77</v>
      </c>
      <c r="F49" s="255" t="s">
        <v>24</v>
      </c>
      <c r="G49" s="255" t="s">
        <v>78</v>
      </c>
      <c r="H49" s="255" t="s">
        <v>747</v>
      </c>
      <c r="I49" s="255" t="s">
        <v>28</v>
      </c>
      <c r="J49" s="255" t="s">
        <v>748</v>
      </c>
      <c r="K49" s="256">
        <v>126605000</v>
      </c>
      <c r="L49" s="256">
        <v>126219000</v>
      </c>
      <c r="M49" s="256">
        <v>74481000</v>
      </c>
      <c r="N49" s="256">
        <v>1153074.1200000001</v>
      </c>
      <c r="O49" s="256">
        <v>139922000</v>
      </c>
      <c r="P49" s="257">
        <v>-13703000</v>
      </c>
      <c r="Q49" s="257">
        <v>-13317000</v>
      </c>
      <c r="R49" s="258">
        <v>-0.10550709481139924</v>
      </c>
      <c r="S49" s="258">
        <v>-3.0581766611999777E-3</v>
      </c>
      <c r="T49" s="258">
        <v>-0.10856527147259921</v>
      </c>
      <c r="U49" s="259">
        <v>24.828725560523154</v>
      </c>
      <c r="V49" s="259">
        <v>36.31467137208918</v>
      </c>
      <c r="W49" s="260">
        <v>1.434964332362102</v>
      </c>
      <c r="X49" s="259">
        <v>15.547850989942724</v>
      </c>
      <c r="Y49" s="257">
        <v>160643000</v>
      </c>
      <c r="Z49" s="258">
        <v>-0.11915287703786542</v>
      </c>
      <c r="AA49" s="260">
        <v>-0.76542912246865957</v>
      </c>
      <c r="AB49" s="258">
        <v>0.72024946421685987</v>
      </c>
      <c r="AC49" s="258">
        <v>5.1644329433254685E-2</v>
      </c>
      <c r="AD49" s="262"/>
      <c r="AE49" s="263"/>
      <c r="AF49" s="263"/>
      <c r="AG49" s="263"/>
      <c r="AH49" s="263"/>
      <c r="AI49" s="263"/>
      <c r="AJ49" s="263"/>
    </row>
    <row r="50" spans="1:36" ht="30" customHeight="1" x14ac:dyDescent="0.3">
      <c r="A50" s="191" t="s">
        <v>100</v>
      </c>
      <c r="B50" s="191" t="s">
        <v>90</v>
      </c>
      <c r="C50" s="191">
        <v>3112</v>
      </c>
      <c r="D50" s="191">
        <v>16665</v>
      </c>
      <c r="E50" s="191" t="s">
        <v>77</v>
      </c>
      <c r="F50" s="191" t="s">
        <v>24</v>
      </c>
      <c r="G50" s="191" t="s">
        <v>78</v>
      </c>
      <c r="H50" s="191" t="s">
        <v>747</v>
      </c>
      <c r="I50" s="191" t="s">
        <v>33</v>
      </c>
      <c r="J50" s="191" t="s">
        <v>748</v>
      </c>
      <c r="K50" s="192">
        <v>416358000</v>
      </c>
      <c r="L50" s="192">
        <v>420394000</v>
      </c>
      <c r="M50" s="192">
        <v>123541740</v>
      </c>
      <c r="N50" s="192">
        <v>3276260</v>
      </c>
      <c r="O50" s="192">
        <v>350621000</v>
      </c>
      <c r="P50" s="193">
        <v>69773000</v>
      </c>
      <c r="Q50" s="193">
        <v>65737000</v>
      </c>
      <c r="R50" s="194">
        <v>0.15636997673610947</v>
      </c>
      <c r="S50" s="194">
        <v>9.6005176096709277E-3</v>
      </c>
      <c r="T50" s="194">
        <v>0.1659704943457804</v>
      </c>
      <c r="U50" s="195">
        <v>43.227003896765943</v>
      </c>
      <c r="V50" s="195">
        <v>27.431040365335154</v>
      </c>
      <c r="W50" s="196">
        <v>8.6720557612216567</v>
      </c>
      <c r="X50" s="195">
        <v>141.60011285496824</v>
      </c>
      <c r="Y50" s="193">
        <v>550792000</v>
      </c>
      <c r="Z50" s="194">
        <v>0.41393709815206153</v>
      </c>
      <c r="AA50" s="196">
        <v>14.305194805194805</v>
      </c>
      <c r="AB50" s="194">
        <v>0.72981968898735383</v>
      </c>
      <c r="AC50" s="194">
        <v>0.17436522185175687</v>
      </c>
    </row>
    <row r="51" spans="1:36" ht="30" customHeight="1" x14ac:dyDescent="0.3">
      <c r="A51" s="255" t="s">
        <v>171</v>
      </c>
      <c r="B51" s="255" t="s">
        <v>636</v>
      </c>
      <c r="C51" s="255">
        <v>3113</v>
      </c>
      <c r="D51" s="255">
        <v>4027</v>
      </c>
      <c r="E51" s="255" t="s">
        <v>77</v>
      </c>
      <c r="F51" s="255" t="s">
        <v>24</v>
      </c>
      <c r="G51" s="255" t="s">
        <v>78</v>
      </c>
      <c r="H51" s="255" t="s">
        <v>747</v>
      </c>
      <c r="I51" s="255" t="s">
        <v>634</v>
      </c>
      <c r="J51" s="255" t="s">
        <v>748</v>
      </c>
      <c r="K51" s="256">
        <v>707308072.32000005</v>
      </c>
      <c r="L51" s="256">
        <v>714741054.14999998</v>
      </c>
      <c r="M51" s="256">
        <v>312170352.56968313</v>
      </c>
      <c r="N51" s="256">
        <v>10750099.470316865</v>
      </c>
      <c r="O51" s="256">
        <v>688851419.48000002</v>
      </c>
      <c r="P51" s="257">
        <v>25889634.669999957</v>
      </c>
      <c r="Q51" s="257">
        <v>18456652.840000033</v>
      </c>
      <c r="R51" s="258">
        <v>2.5822852532165593E-2</v>
      </c>
      <c r="S51" s="258">
        <v>1.0399545103561477E-2</v>
      </c>
      <c r="T51" s="258">
        <v>3.6222397635726961E-2</v>
      </c>
      <c r="U51" s="259">
        <v>39.569596375301096</v>
      </c>
      <c r="V51" s="259">
        <v>56.610990129374542</v>
      </c>
      <c r="W51" s="260">
        <v>1.3506897461431295</v>
      </c>
      <c r="X51" s="259">
        <v>3.979077887312489</v>
      </c>
      <c r="Y51" s="257">
        <v>715334599.21000004</v>
      </c>
      <c r="Z51" s="258">
        <v>0.16780389174867638</v>
      </c>
      <c r="AA51" s="260">
        <v>4.6299242814778578</v>
      </c>
      <c r="AB51" s="258">
        <v>0.59418782918589441</v>
      </c>
      <c r="AC51" s="258">
        <v>0.23940790594534553</v>
      </c>
      <c r="AD51" s="262"/>
      <c r="AE51" s="263"/>
      <c r="AF51" s="263"/>
      <c r="AG51" s="263"/>
      <c r="AH51" s="263"/>
      <c r="AI51" s="263"/>
      <c r="AJ51" s="263"/>
    </row>
    <row r="52" spans="1:36" ht="30" customHeight="1" x14ac:dyDescent="0.3">
      <c r="A52" s="191" t="s">
        <v>201</v>
      </c>
      <c r="B52" s="191" t="s">
        <v>160</v>
      </c>
      <c r="C52" s="191">
        <v>3115</v>
      </c>
      <c r="D52" s="191">
        <v>6755</v>
      </c>
      <c r="E52" s="191" t="s">
        <v>77</v>
      </c>
      <c r="F52" s="191" t="s">
        <v>22</v>
      </c>
      <c r="G52" s="191" t="s">
        <v>78</v>
      </c>
      <c r="H52" s="191" t="s">
        <v>78</v>
      </c>
      <c r="I52" s="191" t="s">
        <v>25</v>
      </c>
      <c r="J52" s="191" t="s">
        <v>748</v>
      </c>
      <c r="K52" s="192">
        <v>1689066000</v>
      </c>
      <c r="L52" s="192">
        <v>1693941000</v>
      </c>
      <c r="M52" s="192">
        <v>593837000</v>
      </c>
      <c r="N52" s="192">
        <v>16983992.780000001</v>
      </c>
      <c r="O52" s="192">
        <v>1687106000</v>
      </c>
      <c r="P52" s="193">
        <v>6835000</v>
      </c>
      <c r="Q52" s="193">
        <v>1960000</v>
      </c>
      <c r="R52" s="194">
        <v>1.1570650925858692E-3</v>
      </c>
      <c r="S52" s="194">
        <v>2.8779042481408739E-3</v>
      </c>
      <c r="T52" s="194">
        <v>4.0349693407267431E-3</v>
      </c>
      <c r="U52" s="195">
        <v>42.351571063776781</v>
      </c>
      <c r="V52" s="195">
        <v>128.91963734227477</v>
      </c>
      <c r="W52" s="196">
        <v>0.8382878418466001</v>
      </c>
      <c r="X52" s="195">
        <v>3.2131827406688434</v>
      </c>
      <c r="Y52" s="193">
        <v>291704000</v>
      </c>
      <c r="Z52" s="194">
        <v>3.3510788338249067E-2</v>
      </c>
      <c r="AA52" s="196">
        <v>3.8713399050748447</v>
      </c>
      <c r="AB52" s="194">
        <v>0.16302132437222003</v>
      </c>
      <c r="AC52" s="194">
        <v>0</v>
      </c>
    </row>
    <row r="53" spans="1:36" ht="30" customHeight="1" x14ac:dyDescent="0.3">
      <c r="A53" s="255" t="s">
        <v>141</v>
      </c>
      <c r="B53" s="255" t="s">
        <v>141</v>
      </c>
      <c r="C53" s="255">
        <v>3791</v>
      </c>
      <c r="D53" s="255">
        <v>3791</v>
      </c>
      <c r="E53" s="255" t="s">
        <v>75</v>
      </c>
      <c r="F53" s="255" t="s">
        <v>747</v>
      </c>
      <c r="G53" s="255" t="s">
        <v>747</v>
      </c>
      <c r="H53" s="255" t="s">
        <v>747</v>
      </c>
      <c r="I53" s="255" t="s">
        <v>747</v>
      </c>
      <c r="J53" s="255" t="s">
        <v>748</v>
      </c>
      <c r="K53" s="256">
        <v>11954393000</v>
      </c>
      <c r="L53" s="256">
        <v>12256826000</v>
      </c>
      <c r="M53" s="256">
        <v>5667495337.3167467</v>
      </c>
      <c r="N53" s="256">
        <v>101827662.6832533</v>
      </c>
      <c r="O53" s="256">
        <v>12019786000</v>
      </c>
      <c r="P53" s="257">
        <v>237040000</v>
      </c>
      <c r="Q53" s="257">
        <v>-65393000</v>
      </c>
      <c r="R53" s="258">
        <v>-5.335231160171483E-3</v>
      </c>
      <c r="S53" s="258">
        <v>2.4674658839082809E-2</v>
      </c>
      <c r="T53" s="258">
        <v>1.9339427678911326E-2</v>
      </c>
      <c r="U53" s="259">
        <v>47.610873876727837</v>
      </c>
      <c r="V53" s="259">
        <v>57.221302884844981</v>
      </c>
      <c r="W53" s="260">
        <v>3.3542697252815428</v>
      </c>
      <c r="X53" s="259">
        <v>81.697569696758492</v>
      </c>
      <c r="Y53" s="257">
        <v>24005834000</v>
      </c>
      <c r="Z53" s="258">
        <v>7.9319215849624272E-2</v>
      </c>
      <c r="AA53" s="260">
        <v>1.9045996705252022</v>
      </c>
      <c r="AB53" s="258">
        <v>0.65322020386020818</v>
      </c>
      <c r="AC53" s="258">
        <v>0.23912293861377365</v>
      </c>
      <c r="AD53" s="262"/>
      <c r="AE53" s="263"/>
      <c r="AF53" s="263"/>
      <c r="AG53" s="263"/>
      <c r="AH53" s="263"/>
      <c r="AI53" s="263"/>
      <c r="AJ53" s="263"/>
    </row>
    <row r="54" spans="1:36" ht="30" customHeight="1" x14ac:dyDescent="0.3">
      <c r="A54" s="191" t="s">
        <v>615</v>
      </c>
      <c r="B54" s="191" t="s">
        <v>510</v>
      </c>
      <c r="C54" s="191">
        <v>3888</v>
      </c>
      <c r="D54" s="191">
        <v>3888</v>
      </c>
      <c r="E54" s="191" t="s">
        <v>75</v>
      </c>
      <c r="F54" s="191" t="s">
        <v>747</v>
      </c>
      <c r="G54" s="191" t="s">
        <v>747</v>
      </c>
      <c r="H54" s="191" t="s">
        <v>747</v>
      </c>
      <c r="I54" s="191" t="s">
        <v>747</v>
      </c>
      <c r="J54" s="191" t="s">
        <v>749</v>
      </c>
      <c r="K54" s="192">
        <v>5832000000</v>
      </c>
      <c r="L54" s="192">
        <v>5669000000</v>
      </c>
      <c r="M54" s="192">
        <v>2171833075.98</v>
      </c>
      <c r="N54" s="192">
        <v>3234659.1</v>
      </c>
      <c r="O54" s="192">
        <v>4967000000</v>
      </c>
      <c r="P54" s="193">
        <v>702000000</v>
      </c>
      <c r="Q54" s="193">
        <v>865000000</v>
      </c>
      <c r="R54" s="194">
        <v>0.15258423002293173</v>
      </c>
      <c r="S54" s="194">
        <v>-2.8752866466748985E-2</v>
      </c>
      <c r="T54" s="194">
        <v>0.12383136355618275</v>
      </c>
      <c r="U54" s="195">
        <v>88.564176602086448</v>
      </c>
      <c r="V54" s="195">
        <v>236.96496411988178</v>
      </c>
      <c r="W54" s="196">
        <v>1.358257477243173</v>
      </c>
      <c r="X54" s="195">
        <v>114.28398058252426</v>
      </c>
      <c r="Y54" s="193">
        <v>8850000000</v>
      </c>
      <c r="Z54" s="194">
        <v>5.8869294605809128E-2</v>
      </c>
      <c r="AA54" s="196">
        <v>4.685314685314685</v>
      </c>
      <c r="AB54" s="194">
        <v>0.28362657436784927</v>
      </c>
      <c r="AC54" s="194">
        <v>0.59732459732459731</v>
      </c>
    </row>
    <row r="55" spans="1:36" ht="30" customHeight="1" x14ac:dyDescent="0.3">
      <c r="A55" s="255" t="s">
        <v>170</v>
      </c>
      <c r="B55" s="255" t="s">
        <v>636</v>
      </c>
      <c r="C55" s="255">
        <v>4027</v>
      </c>
      <c r="D55" s="255">
        <v>4027</v>
      </c>
      <c r="E55" s="255" t="s">
        <v>75</v>
      </c>
      <c r="F55" s="255" t="s">
        <v>747</v>
      </c>
      <c r="G55" s="255" t="s">
        <v>747</v>
      </c>
      <c r="H55" s="255" t="s">
        <v>747</v>
      </c>
      <c r="I55" s="255" t="s">
        <v>747</v>
      </c>
      <c r="J55" s="255" t="s">
        <v>748</v>
      </c>
      <c r="K55" s="256">
        <v>867208562.11000001</v>
      </c>
      <c r="L55" s="256">
        <v>878226049.57000005</v>
      </c>
      <c r="M55" s="256">
        <v>523417018.45968312</v>
      </c>
      <c r="N55" s="256">
        <v>17146688.000316866</v>
      </c>
      <c r="O55" s="256">
        <v>899689869.26999998</v>
      </c>
      <c r="P55" s="257">
        <v>-21463819.699999928</v>
      </c>
      <c r="Q55" s="257">
        <v>-32481307.159999967</v>
      </c>
      <c r="R55" s="258">
        <v>-3.6985132900468586E-2</v>
      </c>
      <c r="S55" s="258">
        <v>1.2545161311708323E-2</v>
      </c>
      <c r="T55" s="258">
        <v>-2.4439971588760222E-2</v>
      </c>
      <c r="U55" s="259">
        <v>39.613701063352337</v>
      </c>
      <c r="V55" s="259">
        <v>55.960721857780875</v>
      </c>
      <c r="W55" s="260">
        <v>1.2081059279407065</v>
      </c>
      <c r="X55" s="259">
        <v>10.268215524235965</v>
      </c>
      <c r="Y55" s="257">
        <v>1059233531.8710001</v>
      </c>
      <c r="Z55" s="258">
        <v>7.2237935696608094E-2</v>
      </c>
      <c r="AA55" s="260">
        <v>2.3914521821920141</v>
      </c>
      <c r="AB55" s="258">
        <v>0.62363962081244095</v>
      </c>
      <c r="AC55" s="258">
        <v>0.17697545791002225</v>
      </c>
      <c r="AD55" s="262"/>
      <c r="AE55" s="263"/>
      <c r="AF55" s="263"/>
      <c r="AG55" s="263"/>
      <c r="AH55" s="263"/>
      <c r="AI55" s="263"/>
      <c r="AJ55" s="263"/>
    </row>
    <row r="56" spans="1:36" ht="30" customHeight="1" x14ac:dyDescent="0.3">
      <c r="A56" s="191" t="s">
        <v>73</v>
      </c>
      <c r="B56" s="191" t="s">
        <v>74</v>
      </c>
      <c r="C56" s="191">
        <v>4066</v>
      </c>
      <c r="D56" s="191">
        <v>4066</v>
      </c>
      <c r="E56" s="191" t="s">
        <v>75</v>
      </c>
      <c r="F56" s="191" t="s">
        <v>747</v>
      </c>
      <c r="G56" s="191" t="s">
        <v>747</v>
      </c>
      <c r="H56" s="191" t="s">
        <v>747</v>
      </c>
      <c r="I56" s="191" t="s">
        <v>747</v>
      </c>
      <c r="J56" s="191" t="s">
        <v>748</v>
      </c>
      <c r="K56" s="192">
        <v>1802798000</v>
      </c>
      <c r="L56" s="192">
        <v>1809193000</v>
      </c>
      <c r="M56" s="192">
        <v>754259000</v>
      </c>
      <c r="N56" s="192" t="s">
        <v>747</v>
      </c>
      <c r="O56" s="192">
        <v>1847392000</v>
      </c>
      <c r="P56" s="193">
        <v>-38199000</v>
      </c>
      <c r="Q56" s="193">
        <v>-44594000</v>
      </c>
      <c r="R56" s="194">
        <v>-2.4648558777311209E-2</v>
      </c>
      <c r="S56" s="194">
        <v>3.534725150937462E-3</v>
      </c>
      <c r="T56" s="194">
        <v>-2.1113833626373747E-2</v>
      </c>
      <c r="U56" s="195">
        <v>38.107194401603522</v>
      </c>
      <c r="V56" s="195">
        <v>54.438698046482997</v>
      </c>
      <c r="W56" s="196">
        <v>1.7277906763871043</v>
      </c>
      <c r="X56" s="195">
        <v>56.193957398240599</v>
      </c>
      <c r="Y56" s="193">
        <v>1241335000</v>
      </c>
      <c r="Z56" s="194">
        <v>3.4524038091463044E-3</v>
      </c>
      <c r="AA56" s="196">
        <v>0.28896953130522895</v>
      </c>
      <c r="AB56" s="194">
        <v>0.46831961639091307</v>
      </c>
      <c r="AC56" s="194">
        <v>0.33588788843003181</v>
      </c>
    </row>
    <row r="57" spans="1:36" ht="30" customHeight="1" x14ac:dyDescent="0.3">
      <c r="A57" s="255" t="s">
        <v>86</v>
      </c>
      <c r="B57" s="255" t="s">
        <v>85</v>
      </c>
      <c r="C57" s="255">
        <v>6309</v>
      </c>
      <c r="D57" s="255">
        <v>3106</v>
      </c>
      <c r="E57" s="255" t="s">
        <v>77</v>
      </c>
      <c r="F57" s="255" t="s">
        <v>30</v>
      </c>
      <c r="G57" s="255" t="s">
        <v>78</v>
      </c>
      <c r="H57" s="255" t="s">
        <v>747</v>
      </c>
      <c r="I57" s="255" t="s">
        <v>35</v>
      </c>
      <c r="J57" s="255" t="s">
        <v>748</v>
      </c>
      <c r="K57" s="256">
        <v>400153674</v>
      </c>
      <c r="L57" s="256">
        <v>399797048</v>
      </c>
      <c r="M57" s="256">
        <v>161943075</v>
      </c>
      <c r="N57" s="256">
        <v>16302038</v>
      </c>
      <c r="O57" s="256">
        <v>356705752</v>
      </c>
      <c r="P57" s="257">
        <v>43091296</v>
      </c>
      <c r="Q57" s="257">
        <v>43447922</v>
      </c>
      <c r="R57" s="258">
        <v>0.10867494449333703</v>
      </c>
      <c r="S57" s="258">
        <v>-8.9201759188577102E-4</v>
      </c>
      <c r="T57" s="258">
        <v>0.10778292690145126</v>
      </c>
      <c r="U57" s="259">
        <v>35.973025244816789</v>
      </c>
      <c r="V57" s="259">
        <v>38.222747252439405</v>
      </c>
      <c r="W57" s="260">
        <v>2.1041156066571354</v>
      </c>
      <c r="X57" s="259">
        <v>79.639389269073916</v>
      </c>
      <c r="Y57" s="257">
        <v>749483870</v>
      </c>
      <c r="Z57" s="258">
        <v>0.49507102447848328</v>
      </c>
      <c r="AA57" s="260">
        <v>15.501896395483078</v>
      </c>
      <c r="AB57" s="258">
        <v>0.8154650886861089</v>
      </c>
      <c r="AC57" s="258">
        <v>3.7873887763775135E-2</v>
      </c>
      <c r="AD57" s="262"/>
      <c r="AE57" s="263"/>
      <c r="AF57" s="263"/>
      <c r="AG57" s="263"/>
      <c r="AH57" s="263"/>
      <c r="AI57" s="263"/>
      <c r="AJ57" s="263"/>
    </row>
    <row r="58" spans="1:36" ht="30" customHeight="1" x14ac:dyDescent="0.3">
      <c r="A58" s="191" t="s">
        <v>96</v>
      </c>
      <c r="B58" s="191" t="s">
        <v>90</v>
      </c>
      <c r="C58" s="191">
        <v>6546</v>
      </c>
      <c r="D58" s="191">
        <v>16665</v>
      </c>
      <c r="E58" s="191" t="s">
        <v>77</v>
      </c>
      <c r="F58" s="191" t="s">
        <v>30</v>
      </c>
      <c r="G58" s="191" t="s">
        <v>747</v>
      </c>
      <c r="H58" s="191" t="s">
        <v>78</v>
      </c>
      <c r="I58" s="191" t="s">
        <v>33</v>
      </c>
      <c r="J58" s="191" t="s">
        <v>748</v>
      </c>
      <c r="K58" s="192">
        <v>719151000</v>
      </c>
      <c r="L58" s="192">
        <v>725169000</v>
      </c>
      <c r="M58" s="192">
        <v>280683881</v>
      </c>
      <c r="N58" s="192">
        <v>12893119</v>
      </c>
      <c r="O58" s="192">
        <v>638171000</v>
      </c>
      <c r="P58" s="193">
        <v>86998000</v>
      </c>
      <c r="Q58" s="193">
        <v>80980000</v>
      </c>
      <c r="R58" s="194">
        <v>0.11167052094063591</v>
      </c>
      <c r="S58" s="194">
        <v>8.2987551867219917E-3</v>
      </c>
      <c r="T58" s="194">
        <v>0.1199692761273579</v>
      </c>
      <c r="U58" s="195">
        <v>44.498961582227359</v>
      </c>
      <c r="V58" s="195">
        <v>75.317370769040537</v>
      </c>
      <c r="W58" s="196">
        <v>3.0798051044424293</v>
      </c>
      <c r="X58" s="195">
        <v>124.35135185703408</v>
      </c>
      <c r="Y58" s="193">
        <v>701032000</v>
      </c>
      <c r="Z58" s="194">
        <v>0.17846636106466507</v>
      </c>
      <c r="AA58" s="196">
        <v>7.6847716078537207</v>
      </c>
      <c r="AB58" s="194">
        <v>0.50556893741616304</v>
      </c>
      <c r="AC58" s="194">
        <v>0.37009360709296535</v>
      </c>
    </row>
    <row r="59" spans="1:36" ht="30" customHeight="1" x14ac:dyDescent="0.3">
      <c r="A59" s="255" t="s">
        <v>184</v>
      </c>
      <c r="B59" s="255" t="s">
        <v>183</v>
      </c>
      <c r="C59" s="255">
        <v>6547</v>
      </c>
      <c r="D59" s="255">
        <v>14288</v>
      </c>
      <c r="E59" s="255" t="s">
        <v>77</v>
      </c>
      <c r="F59" s="255" t="s">
        <v>24</v>
      </c>
      <c r="G59" s="255" t="s">
        <v>78</v>
      </c>
      <c r="H59" s="255" t="s">
        <v>747</v>
      </c>
      <c r="I59" s="255" t="s">
        <v>35</v>
      </c>
      <c r="J59" s="255" t="s">
        <v>750</v>
      </c>
      <c r="K59" s="256">
        <v>258503527</v>
      </c>
      <c r="L59" s="256">
        <v>258615243</v>
      </c>
      <c r="M59" s="256">
        <v>79490474</v>
      </c>
      <c r="N59" s="256">
        <v>1406928</v>
      </c>
      <c r="O59" s="256">
        <v>238522265</v>
      </c>
      <c r="P59" s="257">
        <v>20092978</v>
      </c>
      <c r="Q59" s="257">
        <v>19981262</v>
      </c>
      <c r="R59" s="258">
        <v>7.7262506912633921E-2</v>
      </c>
      <c r="S59" s="258">
        <v>4.3197763095503231E-4</v>
      </c>
      <c r="T59" s="258">
        <v>7.7694484543588946E-2</v>
      </c>
      <c r="U59" s="259">
        <v>39.191306102865553</v>
      </c>
      <c r="V59" s="259">
        <v>46.379720983115988</v>
      </c>
      <c r="W59" s="260">
        <v>2.1958720868558901</v>
      </c>
      <c r="X59" s="259">
        <v>8.24836289624991</v>
      </c>
      <c r="Y59" s="257">
        <v>-9996628</v>
      </c>
      <c r="Z59" s="258">
        <v>0.13623588268415263</v>
      </c>
      <c r="AA59" s="260">
        <v>4.8152393006185594</v>
      </c>
      <c r="AB59" s="258">
        <v>-6.5055826119278098E-2</v>
      </c>
      <c r="AC59" s="258">
        <v>1.1849173053510511</v>
      </c>
      <c r="AD59" s="262"/>
      <c r="AE59" s="263"/>
      <c r="AF59" s="263"/>
      <c r="AG59" s="263"/>
      <c r="AH59" s="263"/>
      <c r="AI59" s="263"/>
      <c r="AJ59" s="263"/>
    </row>
    <row r="60" spans="1:36" ht="30" customHeight="1" x14ac:dyDescent="0.3">
      <c r="A60" s="191" t="s">
        <v>197</v>
      </c>
      <c r="B60" s="191" t="s">
        <v>160</v>
      </c>
      <c r="C60" s="191">
        <v>6755</v>
      </c>
      <c r="D60" s="191">
        <v>6755</v>
      </c>
      <c r="E60" s="191" t="s">
        <v>75</v>
      </c>
      <c r="F60" s="191" t="s">
        <v>747</v>
      </c>
      <c r="G60" s="191" t="s">
        <v>747</v>
      </c>
      <c r="H60" s="191" t="s">
        <v>747</v>
      </c>
      <c r="I60" s="191" t="s">
        <v>747</v>
      </c>
      <c r="J60" s="191" t="s">
        <v>748</v>
      </c>
      <c r="K60" s="192">
        <v>2784037000</v>
      </c>
      <c r="L60" s="192">
        <v>2874693000</v>
      </c>
      <c r="M60" s="192">
        <v>1392299000</v>
      </c>
      <c r="N60" s="192">
        <v>211505.23</v>
      </c>
      <c r="O60" s="192">
        <v>2821220000</v>
      </c>
      <c r="P60" s="193">
        <v>53473000</v>
      </c>
      <c r="Q60" s="193">
        <v>-37183000</v>
      </c>
      <c r="R60" s="194">
        <v>-1.293459858148331E-2</v>
      </c>
      <c r="S60" s="194">
        <v>3.153588922364927E-2</v>
      </c>
      <c r="T60" s="194">
        <v>1.8601290642165962E-2</v>
      </c>
      <c r="U60" s="195">
        <v>36.321337589997441</v>
      </c>
      <c r="V60" s="195">
        <v>54.915345912225689</v>
      </c>
      <c r="W60" s="196">
        <v>1.5549767998448594</v>
      </c>
      <c r="X60" s="195">
        <v>31.741155900588861</v>
      </c>
      <c r="Y60" s="193">
        <v>1936814000</v>
      </c>
      <c r="Z60" s="194">
        <v>7.6528833547836586E-2</v>
      </c>
      <c r="AA60" s="196">
        <v>2.6268019135081517</v>
      </c>
      <c r="AB60" s="194">
        <v>0.45643738677816403</v>
      </c>
      <c r="AC60" s="194">
        <v>0.35539835000167397</v>
      </c>
    </row>
    <row r="61" spans="1:36" ht="30" customHeight="1" x14ac:dyDescent="0.3">
      <c r="A61" s="255" t="s">
        <v>614</v>
      </c>
      <c r="B61" s="255" t="s">
        <v>546</v>
      </c>
      <c r="C61" s="255">
        <v>6963</v>
      </c>
      <c r="D61" s="255">
        <v>13158</v>
      </c>
      <c r="E61" s="255" t="s">
        <v>77</v>
      </c>
      <c r="F61" s="255" t="s">
        <v>99</v>
      </c>
      <c r="G61" s="255" t="s">
        <v>747</v>
      </c>
      <c r="H61" s="255" t="s">
        <v>747</v>
      </c>
      <c r="I61" s="255" t="s">
        <v>28</v>
      </c>
      <c r="J61" s="255" t="s">
        <v>749</v>
      </c>
      <c r="K61" s="256">
        <v>2825361</v>
      </c>
      <c r="L61" s="256">
        <v>2825361</v>
      </c>
      <c r="M61" s="256">
        <v>3792361</v>
      </c>
      <c r="N61" s="256">
        <v>0</v>
      </c>
      <c r="O61" s="256">
        <v>9582619</v>
      </c>
      <c r="P61" s="257">
        <v>-6757258</v>
      </c>
      <c r="Q61" s="257">
        <v>-6757258</v>
      </c>
      <c r="R61" s="258">
        <v>-2.3916441120267464</v>
      </c>
      <c r="S61" s="258">
        <v>0</v>
      </c>
      <c r="T61" s="258">
        <v>-2.3916441120267464</v>
      </c>
      <c r="U61" s="259">
        <v>172.14884398004114</v>
      </c>
      <c r="V61" s="259">
        <v>140.00739942660238</v>
      </c>
      <c r="W61" s="260">
        <v>0.37129126366918108</v>
      </c>
      <c r="X61" s="259">
        <v>2.7463067219776502</v>
      </c>
      <c r="Y61" s="257">
        <v>33081543</v>
      </c>
      <c r="Z61" s="258">
        <v>-0.88216449709030553</v>
      </c>
      <c r="AA61" s="260">
        <v>0</v>
      </c>
      <c r="AB61" s="258">
        <v>0.83146132565649833</v>
      </c>
      <c r="AC61" s="258">
        <v>0</v>
      </c>
      <c r="AD61" s="262"/>
      <c r="AE61" s="263"/>
      <c r="AF61" s="263"/>
      <c r="AG61" s="263"/>
      <c r="AH61" s="263"/>
      <c r="AI61" s="263"/>
      <c r="AJ61" s="263"/>
    </row>
    <row r="62" spans="1:36" ht="30" customHeight="1" x14ac:dyDescent="0.3">
      <c r="A62" s="191" t="s">
        <v>195</v>
      </c>
      <c r="B62" s="191" t="s">
        <v>190</v>
      </c>
      <c r="C62" s="191">
        <v>7895</v>
      </c>
      <c r="D62" s="191">
        <v>12775</v>
      </c>
      <c r="E62" s="191" t="s">
        <v>83</v>
      </c>
      <c r="F62" s="191" t="s">
        <v>747</v>
      </c>
      <c r="G62" s="191" t="s">
        <v>747</v>
      </c>
      <c r="H62" s="191" t="s">
        <v>747</v>
      </c>
      <c r="I62" s="191" t="s">
        <v>747</v>
      </c>
      <c r="J62" s="191" t="s">
        <v>748</v>
      </c>
      <c r="K62" s="192">
        <v>32102000</v>
      </c>
      <c r="L62" s="192">
        <v>32102000</v>
      </c>
      <c r="M62" s="192">
        <v>27119000</v>
      </c>
      <c r="N62" s="192">
        <v>0</v>
      </c>
      <c r="O62" s="192">
        <v>32670000</v>
      </c>
      <c r="P62" s="193">
        <v>-568000</v>
      </c>
      <c r="Q62" s="193">
        <v>-568000</v>
      </c>
      <c r="R62" s="194">
        <v>-1.7693601644757338E-2</v>
      </c>
      <c r="S62" s="194">
        <v>0</v>
      </c>
      <c r="T62" s="194">
        <v>-1.7693601644757338E-2</v>
      </c>
      <c r="U62" s="195" t="s">
        <v>747</v>
      </c>
      <c r="V62" s="195" t="s">
        <v>747</v>
      </c>
      <c r="W62" s="196" t="s">
        <v>747</v>
      </c>
      <c r="X62" s="195" t="s">
        <v>747</v>
      </c>
      <c r="Y62" s="193" t="s">
        <v>747</v>
      </c>
      <c r="Z62" s="194" t="s">
        <v>747</v>
      </c>
      <c r="AA62" s="196" t="s">
        <v>747</v>
      </c>
      <c r="AB62" s="194" t="s">
        <v>747</v>
      </c>
      <c r="AC62" s="194" t="s">
        <v>747</v>
      </c>
    </row>
    <row r="63" spans="1:36" ht="30" customHeight="1" x14ac:dyDescent="0.3">
      <c r="A63" s="255" t="s">
        <v>156</v>
      </c>
      <c r="B63" s="255" t="s">
        <v>141</v>
      </c>
      <c r="C63" s="255">
        <v>8644</v>
      </c>
      <c r="D63" s="255">
        <v>3791</v>
      </c>
      <c r="E63" s="255" t="s">
        <v>83</v>
      </c>
      <c r="F63" s="255" t="s">
        <v>747</v>
      </c>
      <c r="G63" s="255" t="s">
        <v>747</v>
      </c>
      <c r="H63" s="255" t="s">
        <v>747</v>
      </c>
      <c r="I63" s="255" t="s">
        <v>747</v>
      </c>
      <c r="J63" s="255" t="s">
        <v>748</v>
      </c>
      <c r="K63" s="256">
        <v>90483000</v>
      </c>
      <c r="L63" s="256">
        <v>90552000</v>
      </c>
      <c r="M63" s="256">
        <v>73343432.689999998</v>
      </c>
      <c r="N63" s="256">
        <v>279567.31</v>
      </c>
      <c r="O63" s="256">
        <v>95824000</v>
      </c>
      <c r="P63" s="257">
        <v>-5272000</v>
      </c>
      <c r="Q63" s="257">
        <v>-5341000</v>
      </c>
      <c r="R63" s="258">
        <v>-5.8982683982683984E-2</v>
      </c>
      <c r="S63" s="258">
        <v>7.6199310893188443E-4</v>
      </c>
      <c r="T63" s="258">
        <v>-5.8220690873752097E-2</v>
      </c>
      <c r="U63" s="259" t="s">
        <v>747</v>
      </c>
      <c r="V63" s="259" t="s">
        <v>747</v>
      </c>
      <c r="W63" s="260" t="s">
        <v>747</v>
      </c>
      <c r="X63" s="259" t="s">
        <v>747</v>
      </c>
      <c r="Y63" s="257" t="s">
        <v>747</v>
      </c>
      <c r="Z63" s="258" t="s">
        <v>747</v>
      </c>
      <c r="AA63" s="260" t="s">
        <v>747</v>
      </c>
      <c r="AB63" s="258" t="s">
        <v>747</v>
      </c>
      <c r="AC63" s="258" t="s">
        <v>747</v>
      </c>
      <c r="AD63" s="262"/>
      <c r="AE63" s="263"/>
      <c r="AF63" s="263"/>
      <c r="AG63" s="263"/>
      <c r="AH63" s="263"/>
      <c r="AI63" s="263"/>
      <c r="AJ63" s="263"/>
    </row>
    <row r="64" spans="1:36" ht="30" customHeight="1" x14ac:dyDescent="0.3">
      <c r="A64" s="191" t="s">
        <v>109</v>
      </c>
      <c r="B64" s="191" t="s">
        <v>90</v>
      </c>
      <c r="C64" s="191">
        <v>8655</v>
      </c>
      <c r="D64" s="191">
        <v>16665</v>
      </c>
      <c r="E64" s="191" t="s">
        <v>83</v>
      </c>
      <c r="F64" s="191" t="s">
        <v>747</v>
      </c>
      <c r="G64" s="191" t="s">
        <v>747</v>
      </c>
      <c r="H64" s="191" t="s">
        <v>747</v>
      </c>
      <c r="I64" s="191" t="s">
        <v>747</v>
      </c>
      <c r="J64" s="191" t="s">
        <v>748</v>
      </c>
      <c r="K64" s="192">
        <v>5739000</v>
      </c>
      <c r="L64" s="192">
        <v>5739000</v>
      </c>
      <c r="M64" s="192">
        <v>9492000</v>
      </c>
      <c r="N64" s="192">
        <v>0</v>
      </c>
      <c r="O64" s="192">
        <v>10176000</v>
      </c>
      <c r="P64" s="193">
        <v>-4437000</v>
      </c>
      <c r="Q64" s="193">
        <v>-4437000</v>
      </c>
      <c r="R64" s="194">
        <v>-0.7731312075274438</v>
      </c>
      <c r="S64" s="194">
        <v>0</v>
      </c>
      <c r="T64" s="194">
        <v>-0.7731312075274438</v>
      </c>
      <c r="U64" s="195" t="s">
        <v>747</v>
      </c>
      <c r="V64" s="195" t="s">
        <v>747</v>
      </c>
      <c r="W64" s="196" t="s">
        <v>747</v>
      </c>
      <c r="X64" s="195" t="s">
        <v>747</v>
      </c>
      <c r="Y64" s="193" t="s">
        <v>747</v>
      </c>
      <c r="Z64" s="194" t="s">
        <v>747</v>
      </c>
      <c r="AA64" s="196" t="s">
        <v>747</v>
      </c>
      <c r="AB64" s="194" t="s">
        <v>747</v>
      </c>
      <c r="AC64" s="194" t="s">
        <v>747</v>
      </c>
    </row>
    <row r="65" spans="1:36" ht="30" customHeight="1" x14ac:dyDescent="0.3">
      <c r="A65" s="255" t="s">
        <v>692</v>
      </c>
      <c r="B65" s="255" t="s">
        <v>117</v>
      </c>
      <c r="C65" s="255">
        <v>8701</v>
      </c>
      <c r="D65" s="255">
        <v>14287</v>
      </c>
      <c r="E65" s="255" t="s">
        <v>77</v>
      </c>
      <c r="F65" s="255" t="s">
        <v>24</v>
      </c>
      <c r="G65" s="255" t="s">
        <v>78</v>
      </c>
      <c r="H65" s="255" t="s">
        <v>747</v>
      </c>
      <c r="I65" s="255" t="s">
        <v>31</v>
      </c>
      <c r="J65" s="255" t="s">
        <v>748</v>
      </c>
      <c r="K65" s="256">
        <v>145198600</v>
      </c>
      <c r="L65" s="256">
        <v>145288119</v>
      </c>
      <c r="M65" s="256">
        <v>74849246</v>
      </c>
      <c r="N65" s="256">
        <v>2635671</v>
      </c>
      <c r="O65" s="256">
        <v>178368314</v>
      </c>
      <c r="P65" s="257">
        <v>-33080195</v>
      </c>
      <c r="Q65" s="257">
        <v>-33169714</v>
      </c>
      <c r="R65" s="258">
        <v>-0.22830300390908081</v>
      </c>
      <c r="S65" s="258">
        <v>6.1614811050035004E-4</v>
      </c>
      <c r="T65" s="258">
        <v>-0.22768685579858047</v>
      </c>
      <c r="U65" s="259">
        <v>49.194630597254182</v>
      </c>
      <c r="V65" s="259">
        <v>168.75676576340058</v>
      </c>
      <c r="W65" s="260">
        <v>0.4373857065484541</v>
      </c>
      <c r="X65" s="259">
        <v>12.389990049996451</v>
      </c>
      <c r="Y65" s="257">
        <v>67250576</v>
      </c>
      <c r="Z65" s="258">
        <v>-0.16892592508710813</v>
      </c>
      <c r="AA65" s="260">
        <v>-43.749486806487887</v>
      </c>
      <c r="AB65" s="258">
        <v>0.27938084185529688</v>
      </c>
      <c r="AC65" s="258">
        <v>0.10952908925070461</v>
      </c>
      <c r="AD65" s="262"/>
      <c r="AE65" s="263"/>
      <c r="AF65" s="263"/>
      <c r="AG65" s="263"/>
      <c r="AH65" s="263"/>
      <c r="AI65" s="263"/>
      <c r="AJ65" s="263"/>
    </row>
    <row r="66" spans="1:36" ht="30" customHeight="1" x14ac:dyDescent="0.3">
      <c r="A66" s="191" t="s">
        <v>95</v>
      </c>
      <c r="B66" s="191" t="s">
        <v>90</v>
      </c>
      <c r="C66" s="191">
        <v>8702</v>
      </c>
      <c r="D66" s="191">
        <v>16665</v>
      </c>
      <c r="E66" s="191" t="s">
        <v>77</v>
      </c>
      <c r="F66" s="191" t="s">
        <v>22</v>
      </c>
      <c r="G66" s="191" t="s">
        <v>747</v>
      </c>
      <c r="H66" s="191" t="s">
        <v>78</v>
      </c>
      <c r="I66" s="191" t="s">
        <v>28</v>
      </c>
      <c r="J66" s="191" t="s">
        <v>748</v>
      </c>
      <c r="K66" s="192">
        <v>1893499000</v>
      </c>
      <c r="L66" s="192">
        <v>1936948000</v>
      </c>
      <c r="M66" s="192">
        <v>537095980</v>
      </c>
      <c r="N66" s="192">
        <v>6752020</v>
      </c>
      <c r="O66" s="192">
        <v>1786744000</v>
      </c>
      <c r="P66" s="193">
        <v>150204000</v>
      </c>
      <c r="Q66" s="193">
        <v>106755000</v>
      </c>
      <c r="R66" s="194">
        <v>5.5115057296323905E-2</v>
      </c>
      <c r="S66" s="194">
        <v>2.2431681180909348E-2</v>
      </c>
      <c r="T66" s="194">
        <v>7.7546738477233257E-2</v>
      </c>
      <c r="U66" s="195">
        <v>38.932794813958395</v>
      </c>
      <c r="V66" s="195">
        <v>44.084777036411545</v>
      </c>
      <c r="W66" s="196">
        <v>4.784488001700975</v>
      </c>
      <c r="X66" s="195">
        <v>84.646578256435816</v>
      </c>
      <c r="Y66" s="193">
        <v>2001538000</v>
      </c>
      <c r="Z66" s="194">
        <v>7.786449111365569E-2</v>
      </c>
      <c r="AA66" s="196">
        <v>6.0303452546833878</v>
      </c>
      <c r="AB66" s="194">
        <v>0.42523513898859483</v>
      </c>
      <c r="AC66" s="194">
        <v>0.54477132767998138</v>
      </c>
    </row>
    <row r="67" spans="1:36" ht="30" customHeight="1" x14ac:dyDescent="0.3">
      <c r="A67" s="255" t="s">
        <v>158</v>
      </c>
      <c r="B67" s="255" t="s">
        <v>141</v>
      </c>
      <c r="C67" s="255">
        <v>8745</v>
      </c>
      <c r="D67" s="255">
        <v>3791</v>
      </c>
      <c r="E67" s="255" t="s">
        <v>83</v>
      </c>
      <c r="F67" s="255" t="s">
        <v>747</v>
      </c>
      <c r="G67" s="255" t="s">
        <v>747</v>
      </c>
      <c r="H67" s="255" t="s">
        <v>747</v>
      </c>
      <c r="I67" s="255" t="s">
        <v>747</v>
      </c>
      <c r="J67" s="255" t="s">
        <v>748</v>
      </c>
      <c r="K67" s="256">
        <v>106063000</v>
      </c>
      <c r="L67" s="256">
        <v>106960000</v>
      </c>
      <c r="M67" s="256">
        <v>42194158.049999997</v>
      </c>
      <c r="N67" s="256">
        <v>68841.95</v>
      </c>
      <c r="O67" s="256">
        <v>126470000</v>
      </c>
      <c r="P67" s="257">
        <v>-19510000</v>
      </c>
      <c r="Q67" s="257">
        <v>-20407000</v>
      </c>
      <c r="R67" s="258">
        <v>-0.19079094988780854</v>
      </c>
      <c r="S67" s="258">
        <v>8.3863126402393424E-3</v>
      </c>
      <c r="T67" s="258">
        <v>-0.1824046372475692</v>
      </c>
      <c r="U67" s="259" t="s">
        <v>747</v>
      </c>
      <c r="V67" s="259" t="s">
        <v>747</v>
      </c>
      <c r="W67" s="260" t="s">
        <v>747</v>
      </c>
      <c r="X67" s="259" t="s">
        <v>747</v>
      </c>
      <c r="Y67" s="257" t="s">
        <v>747</v>
      </c>
      <c r="Z67" s="258" t="s">
        <v>747</v>
      </c>
      <c r="AA67" s="260" t="s">
        <v>747</v>
      </c>
      <c r="AB67" s="258" t="s">
        <v>747</v>
      </c>
      <c r="AC67" s="258" t="s">
        <v>747</v>
      </c>
      <c r="AD67" s="262"/>
      <c r="AE67" s="263"/>
      <c r="AF67" s="263"/>
      <c r="AG67" s="263"/>
      <c r="AH67" s="263"/>
      <c r="AI67" s="263"/>
      <c r="AJ67" s="263"/>
    </row>
    <row r="68" spans="1:36" ht="30" customHeight="1" x14ac:dyDescent="0.3">
      <c r="A68" s="191" t="s">
        <v>161</v>
      </c>
      <c r="B68" s="191" t="s">
        <v>160</v>
      </c>
      <c r="C68" s="191">
        <v>8750</v>
      </c>
      <c r="D68" s="191">
        <v>6755</v>
      </c>
      <c r="E68" s="191" t="s">
        <v>83</v>
      </c>
      <c r="F68" s="191" t="s">
        <v>747</v>
      </c>
      <c r="G68" s="191" t="s">
        <v>747</v>
      </c>
      <c r="H68" s="191" t="s">
        <v>747</v>
      </c>
      <c r="I68" s="191" t="s">
        <v>747</v>
      </c>
      <c r="J68" s="191" t="s">
        <v>748</v>
      </c>
      <c r="K68" s="192">
        <v>30354000</v>
      </c>
      <c r="L68" s="192">
        <v>30354000</v>
      </c>
      <c r="M68" s="192">
        <v>21796000</v>
      </c>
      <c r="N68" s="192" t="s">
        <v>747</v>
      </c>
      <c r="O68" s="192">
        <v>31867000</v>
      </c>
      <c r="P68" s="193">
        <v>-1513000</v>
      </c>
      <c r="Q68" s="193">
        <v>-1513000</v>
      </c>
      <c r="R68" s="194">
        <v>-4.9845160440139688E-2</v>
      </c>
      <c r="S68" s="194">
        <v>0</v>
      </c>
      <c r="T68" s="194">
        <v>-4.9845160440139688E-2</v>
      </c>
      <c r="U68" s="195" t="s">
        <v>747</v>
      </c>
      <c r="V68" s="195" t="s">
        <v>747</v>
      </c>
      <c r="W68" s="196" t="s">
        <v>747</v>
      </c>
      <c r="X68" s="195" t="s">
        <v>747</v>
      </c>
      <c r="Y68" s="193" t="s">
        <v>747</v>
      </c>
      <c r="Z68" s="194" t="s">
        <v>747</v>
      </c>
      <c r="AA68" s="196" t="s">
        <v>747</v>
      </c>
      <c r="AB68" s="194" t="s">
        <v>747</v>
      </c>
      <c r="AC68" s="194" t="s">
        <v>747</v>
      </c>
    </row>
    <row r="69" spans="1:36" ht="30" customHeight="1" x14ac:dyDescent="0.3">
      <c r="A69" s="255" t="s">
        <v>152</v>
      </c>
      <c r="B69" s="255" t="s">
        <v>141</v>
      </c>
      <c r="C69" s="255">
        <v>9323</v>
      </c>
      <c r="D69" s="255">
        <v>3791</v>
      </c>
      <c r="E69" s="255" t="s">
        <v>83</v>
      </c>
      <c r="F69" s="255" t="s">
        <v>747</v>
      </c>
      <c r="G69" s="255" t="s">
        <v>747</v>
      </c>
      <c r="H69" s="255" t="s">
        <v>747</v>
      </c>
      <c r="I69" s="255" t="s">
        <v>747</v>
      </c>
      <c r="J69" s="255" t="s">
        <v>748</v>
      </c>
      <c r="K69" s="256">
        <v>47982000</v>
      </c>
      <c r="L69" s="256">
        <v>47982000</v>
      </c>
      <c r="M69" s="256">
        <v>49485292.5</v>
      </c>
      <c r="N69" s="256">
        <v>819707.5</v>
      </c>
      <c r="O69" s="256">
        <v>64199000</v>
      </c>
      <c r="P69" s="257">
        <v>-16217000</v>
      </c>
      <c r="Q69" s="257">
        <v>-16217000</v>
      </c>
      <c r="R69" s="258">
        <v>-0.33798090950773207</v>
      </c>
      <c r="S69" s="258">
        <v>0</v>
      </c>
      <c r="T69" s="258">
        <v>-0.33798090950773207</v>
      </c>
      <c r="U69" s="259" t="s">
        <v>747</v>
      </c>
      <c r="V69" s="259" t="s">
        <v>747</v>
      </c>
      <c r="W69" s="260" t="s">
        <v>747</v>
      </c>
      <c r="X69" s="259" t="s">
        <v>747</v>
      </c>
      <c r="Y69" s="257" t="s">
        <v>747</v>
      </c>
      <c r="Z69" s="258" t="s">
        <v>747</v>
      </c>
      <c r="AA69" s="260" t="s">
        <v>747</v>
      </c>
      <c r="AB69" s="258" t="s">
        <v>747</v>
      </c>
      <c r="AC69" s="258" t="s">
        <v>747</v>
      </c>
      <c r="AD69" s="262"/>
      <c r="AE69" s="263"/>
      <c r="AF69" s="263"/>
      <c r="AG69" s="263"/>
      <c r="AH69" s="263"/>
      <c r="AI69" s="263"/>
      <c r="AJ69" s="263"/>
    </row>
    <row r="70" spans="1:36" ht="30" customHeight="1" x14ac:dyDescent="0.3">
      <c r="A70" s="191" t="s">
        <v>202</v>
      </c>
      <c r="B70" s="191" t="s">
        <v>160</v>
      </c>
      <c r="C70" s="191">
        <v>9784</v>
      </c>
      <c r="D70" s="191">
        <v>6755</v>
      </c>
      <c r="E70" s="191" t="s">
        <v>83</v>
      </c>
      <c r="F70" s="191" t="s">
        <v>747</v>
      </c>
      <c r="G70" s="191" t="s">
        <v>747</v>
      </c>
      <c r="H70" s="191" t="s">
        <v>747</v>
      </c>
      <c r="I70" s="191" t="s">
        <v>747</v>
      </c>
      <c r="J70" s="191" t="s">
        <v>748</v>
      </c>
      <c r="K70" s="192">
        <v>475301000</v>
      </c>
      <c r="L70" s="192">
        <v>476446000</v>
      </c>
      <c r="M70" s="192">
        <v>389512000</v>
      </c>
      <c r="N70" s="192">
        <v>41335.279999999999</v>
      </c>
      <c r="O70" s="192">
        <v>511467000</v>
      </c>
      <c r="P70" s="193">
        <v>-35021000</v>
      </c>
      <c r="Q70" s="193">
        <v>-36166000</v>
      </c>
      <c r="R70" s="194">
        <v>-7.5907867838118065E-2</v>
      </c>
      <c r="S70" s="194">
        <v>2.4032104372793558E-3</v>
      </c>
      <c r="T70" s="194">
        <v>-7.350465740083871E-2</v>
      </c>
      <c r="U70" s="195" t="s">
        <v>747</v>
      </c>
      <c r="V70" s="195" t="s">
        <v>747</v>
      </c>
      <c r="W70" s="196" t="s">
        <v>747</v>
      </c>
      <c r="X70" s="195" t="s">
        <v>747</v>
      </c>
      <c r="Y70" s="193" t="s">
        <v>747</v>
      </c>
      <c r="Z70" s="194" t="s">
        <v>747</v>
      </c>
      <c r="AA70" s="196" t="s">
        <v>747</v>
      </c>
      <c r="AB70" s="194" t="s">
        <v>747</v>
      </c>
      <c r="AC70" s="194" t="s">
        <v>747</v>
      </c>
    </row>
    <row r="71" spans="1:36" ht="30" customHeight="1" x14ac:dyDescent="0.3">
      <c r="A71" s="255" t="s">
        <v>104</v>
      </c>
      <c r="B71" s="255" t="s">
        <v>90</v>
      </c>
      <c r="C71" s="255">
        <v>9914</v>
      </c>
      <c r="D71" s="255">
        <v>16665</v>
      </c>
      <c r="E71" s="255" t="s">
        <v>83</v>
      </c>
      <c r="F71" s="255" t="s">
        <v>747</v>
      </c>
      <c r="G71" s="255" t="s">
        <v>747</v>
      </c>
      <c r="H71" s="255" t="s">
        <v>747</v>
      </c>
      <c r="I71" s="255" t="s">
        <v>747</v>
      </c>
      <c r="J71" s="255" t="s">
        <v>748</v>
      </c>
      <c r="K71" s="256">
        <v>584861000</v>
      </c>
      <c r="L71" s="256">
        <v>599340000</v>
      </c>
      <c r="M71" s="256">
        <v>512068863</v>
      </c>
      <c r="N71" s="256">
        <v>12604137</v>
      </c>
      <c r="O71" s="256">
        <v>582801000</v>
      </c>
      <c r="P71" s="257">
        <v>16539000</v>
      </c>
      <c r="Q71" s="257">
        <v>2060000</v>
      </c>
      <c r="R71" s="258">
        <v>3.4371141589081321E-3</v>
      </c>
      <c r="S71" s="258">
        <v>2.4158240731471284E-2</v>
      </c>
      <c r="T71" s="258">
        <v>2.7595354890379419E-2</v>
      </c>
      <c r="U71" s="259" t="s">
        <v>747</v>
      </c>
      <c r="V71" s="259" t="s">
        <v>747</v>
      </c>
      <c r="W71" s="260" t="s">
        <v>747</v>
      </c>
      <c r="X71" s="259" t="s">
        <v>747</v>
      </c>
      <c r="Y71" s="257" t="s">
        <v>747</v>
      </c>
      <c r="Z71" s="258" t="s">
        <v>747</v>
      </c>
      <c r="AA71" s="260" t="s">
        <v>747</v>
      </c>
      <c r="AB71" s="258" t="s">
        <v>747</v>
      </c>
      <c r="AC71" s="258" t="s">
        <v>747</v>
      </c>
      <c r="AD71" s="262"/>
      <c r="AE71" s="263"/>
      <c r="AF71" s="263"/>
      <c r="AG71" s="263"/>
      <c r="AH71" s="263"/>
      <c r="AI71" s="263"/>
      <c r="AJ71" s="263"/>
    </row>
    <row r="72" spans="1:36" ht="30" customHeight="1" x14ac:dyDescent="0.3">
      <c r="A72" s="191" t="s">
        <v>162</v>
      </c>
      <c r="B72" s="191" t="s">
        <v>163</v>
      </c>
      <c r="C72" s="191">
        <v>9991</v>
      </c>
      <c r="D72" s="191">
        <v>9991</v>
      </c>
      <c r="E72" s="191" t="s">
        <v>75</v>
      </c>
      <c r="F72" s="191" t="s">
        <v>747</v>
      </c>
      <c r="G72" s="191" t="s">
        <v>747</v>
      </c>
      <c r="H72" s="191" t="s">
        <v>747</v>
      </c>
      <c r="I72" s="191" t="s">
        <v>747</v>
      </c>
      <c r="J72" s="191" t="s">
        <v>748</v>
      </c>
      <c r="K72" s="192">
        <v>286245161</v>
      </c>
      <c r="L72" s="192">
        <v>300145164</v>
      </c>
      <c r="M72" s="192">
        <v>144659107</v>
      </c>
      <c r="N72" s="192">
        <v>33831423.269999996</v>
      </c>
      <c r="O72" s="192">
        <v>294156687</v>
      </c>
      <c r="P72" s="193">
        <v>5988477</v>
      </c>
      <c r="Q72" s="193">
        <v>-7911526</v>
      </c>
      <c r="R72" s="194">
        <v>-2.6358998741022526E-2</v>
      </c>
      <c r="S72" s="194">
        <v>4.631093439839664E-2</v>
      </c>
      <c r="T72" s="194">
        <v>1.9951935657374111E-2</v>
      </c>
      <c r="U72" s="195">
        <v>37.478690405670683</v>
      </c>
      <c r="V72" s="195">
        <v>66.660352362311187</v>
      </c>
      <c r="W72" s="196">
        <v>1.0024804262446971</v>
      </c>
      <c r="X72" s="195">
        <v>24.44536783334464</v>
      </c>
      <c r="Y72" s="193">
        <v>249815767</v>
      </c>
      <c r="Z72" s="194">
        <v>6.7905169816369265E-2</v>
      </c>
      <c r="AA72" s="196">
        <v>1.5737547660371329</v>
      </c>
      <c r="AB72" s="194">
        <v>0.49335975826297246</v>
      </c>
      <c r="AC72" s="194">
        <v>0.2702091798318374</v>
      </c>
    </row>
    <row r="73" spans="1:36" ht="30" customHeight="1" x14ac:dyDescent="0.3">
      <c r="A73" s="255" t="s">
        <v>165</v>
      </c>
      <c r="B73" s="255" t="s">
        <v>163</v>
      </c>
      <c r="C73" s="255">
        <v>10327</v>
      </c>
      <c r="D73" s="255">
        <v>9991</v>
      </c>
      <c r="E73" s="255" t="s">
        <v>83</v>
      </c>
      <c r="F73" s="255" t="s">
        <v>747</v>
      </c>
      <c r="G73" s="255" t="s">
        <v>747</v>
      </c>
      <c r="H73" s="255" t="s">
        <v>747</v>
      </c>
      <c r="I73" s="255" t="s">
        <v>747</v>
      </c>
      <c r="J73" s="255" t="s">
        <v>748</v>
      </c>
      <c r="K73" s="256">
        <v>43030718</v>
      </c>
      <c r="L73" s="256">
        <v>43030718</v>
      </c>
      <c r="M73" s="256">
        <v>36418234</v>
      </c>
      <c r="N73" s="256">
        <v>6450359</v>
      </c>
      <c r="O73" s="256">
        <v>51341415</v>
      </c>
      <c r="P73" s="257">
        <v>-8310697</v>
      </c>
      <c r="Q73" s="257">
        <v>-8310697</v>
      </c>
      <c r="R73" s="258">
        <v>-0.19313405367765418</v>
      </c>
      <c r="S73" s="258">
        <v>0</v>
      </c>
      <c r="T73" s="258">
        <v>-0.19313405367765418</v>
      </c>
      <c r="U73" s="259" t="s">
        <v>747</v>
      </c>
      <c r="V73" s="259" t="s">
        <v>747</v>
      </c>
      <c r="W73" s="260" t="s">
        <v>747</v>
      </c>
      <c r="X73" s="259" t="s">
        <v>747</v>
      </c>
      <c r="Y73" s="257" t="s">
        <v>747</v>
      </c>
      <c r="Z73" s="258" t="s">
        <v>747</v>
      </c>
      <c r="AA73" s="260" t="s">
        <v>747</v>
      </c>
      <c r="AB73" s="258" t="s">
        <v>747</v>
      </c>
      <c r="AC73" s="258" t="s">
        <v>747</v>
      </c>
      <c r="AD73" s="262"/>
      <c r="AE73" s="263"/>
      <c r="AF73" s="263"/>
      <c r="AG73" s="263"/>
      <c r="AH73" s="263"/>
      <c r="AI73" s="263"/>
      <c r="AJ73" s="263"/>
    </row>
    <row r="74" spans="1:36" ht="30" customHeight="1" x14ac:dyDescent="0.3">
      <c r="A74" s="191" t="s">
        <v>137</v>
      </c>
      <c r="B74" s="191" t="s">
        <v>134</v>
      </c>
      <c r="C74" s="191">
        <v>10976</v>
      </c>
      <c r="D74" s="191">
        <v>12807</v>
      </c>
      <c r="E74" s="191" t="s">
        <v>83</v>
      </c>
      <c r="F74" s="191" t="s">
        <v>747</v>
      </c>
      <c r="G74" s="191" t="s">
        <v>747</v>
      </c>
      <c r="H74" s="191" t="s">
        <v>747</v>
      </c>
      <c r="I74" s="191" t="s">
        <v>747</v>
      </c>
      <c r="J74" s="191" t="s">
        <v>748</v>
      </c>
      <c r="K74" s="192">
        <v>3407290</v>
      </c>
      <c r="L74" s="192">
        <v>3407290</v>
      </c>
      <c r="M74" s="192">
        <v>7835209</v>
      </c>
      <c r="N74" s="192">
        <v>0</v>
      </c>
      <c r="O74" s="192">
        <v>8138556</v>
      </c>
      <c r="P74" s="193">
        <v>-4731266</v>
      </c>
      <c r="Q74" s="193">
        <v>-4731266</v>
      </c>
      <c r="R74" s="194">
        <v>-1.3885715627375421</v>
      </c>
      <c r="S74" s="194">
        <v>0</v>
      </c>
      <c r="T74" s="194">
        <v>-1.3885715627375421</v>
      </c>
      <c r="U74" s="195" t="s">
        <v>747</v>
      </c>
      <c r="V74" s="195" t="s">
        <v>747</v>
      </c>
      <c r="W74" s="196" t="s">
        <v>747</v>
      </c>
      <c r="X74" s="195" t="s">
        <v>747</v>
      </c>
      <c r="Y74" s="193" t="s">
        <v>747</v>
      </c>
      <c r="Z74" s="194" t="s">
        <v>747</v>
      </c>
      <c r="AA74" s="196" t="s">
        <v>747</v>
      </c>
      <c r="AB74" s="194" t="s">
        <v>747</v>
      </c>
      <c r="AC74" s="194" t="s">
        <v>747</v>
      </c>
    </row>
    <row r="75" spans="1:36" ht="30" customHeight="1" x14ac:dyDescent="0.3">
      <c r="A75" s="255" t="s">
        <v>196</v>
      </c>
      <c r="B75" s="255" t="s">
        <v>190</v>
      </c>
      <c r="C75" s="255">
        <v>10991</v>
      </c>
      <c r="D75" s="255">
        <v>12775</v>
      </c>
      <c r="E75" s="255" t="s">
        <v>83</v>
      </c>
      <c r="F75" s="255" t="s">
        <v>747</v>
      </c>
      <c r="G75" s="255" t="s">
        <v>747</v>
      </c>
      <c r="H75" s="255" t="s">
        <v>747</v>
      </c>
      <c r="I75" s="255" t="s">
        <v>747</v>
      </c>
      <c r="J75" s="255" t="s">
        <v>748</v>
      </c>
      <c r="K75" s="256">
        <v>197796000</v>
      </c>
      <c r="L75" s="256">
        <v>197796000</v>
      </c>
      <c r="M75" s="256">
        <v>185027000</v>
      </c>
      <c r="N75" s="256">
        <v>9216719</v>
      </c>
      <c r="O75" s="256">
        <v>241339000</v>
      </c>
      <c r="P75" s="257">
        <v>-43543000</v>
      </c>
      <c r="Q75" s="257">
        <v>-43543000</v>
      </c>
      <c r="R75" s="258">
        <v>-0.2201409533054258</v>
      </c>
      <c r="S75" s="258">
        <v>0</v>
      </c>
      <c r="T75" s="258">
        <v>-0.2201409533054258</v>
      </c>
      <c r="U75" s="259" t="s">
        <v>747</v>
      </c>
      <c r="V75" s="259" t="s">
        <v>747</v>
      </c>
      <c r="W75" s="260" t="s">
        <v>747</v>
      </c>
      <c r="X75" s="259" t="s">
        <v>747</v>
      </c>
      <c r="Y75" s="257" t="s">
        <v>747</v>
      </c>
      <c r="Z75" s="258" t="s">
        <v>747</v>
      </c>
      <c r="AA75" s="260" t="s">
        <v>747</v>
      </c>
      <c r="AB75" s="258" t="s">
        <v>747</v>
      </c>
      <c r="AC75" s="258" t="s">
        <v>747</v>
      </c>
      <c r="AD75" s="262"/>
      <c r="AE75" s="263"/>
      <c r="AF75" s="263"/>
      <c r="AG75" s="263"/>
      <c r="AH75" s="263"/>
      <c r="AI75" s="263"/>
      <c r="AJ75" s="263"/>
    </row>
    <row r="76" spans="1:36" ht="30" customHeight="1" x14ac:dyDescent="0.3">
      <c r="A76" s="191" t="s">
        <v>151</v>
      </c>
      <c r="B76" s="191" t="s">
        <v>141</v>
      </c>
      <c r="C76" s="191">
        <v>10996</v>
      </c>
      <c r="D76" s="191">
        <v>3791</v>
      </c>
      <c r="E76" s="191" t="s">
        <v>83</v>
      </c>
      <c r="F76" s="191" t="s">
        <v>747</v>
      </c>
      <c r="G76" s="191" t="s">
        <v>747</v>
      </c>
      <c r="H76" s="191" t="s">
        <v>747</v>
      </c>
      <c r="I76" s="191" t="s">
        <v>747</v>
      </c>
      <c r="J76" s="191" t="s">
        <v>748</v>
      </c>
      <c r="K76" s="192">
        <v>648212000</v>
      </c>
      <c r="L76" s="192">
        <v>663901000</v>
      </c>
      <c r="M76" s="192">
        <v>529095101.48000002</v>
      </c>
      <c r="N76" s="192">
        <v>5311898.5199999996</v>
      </c>
      <c r="O76" s="192">
        <v>642781000</v>
      </c>
      <c r="P76" s="193">
        <v>21120000</v>
      </c>
      <c r="Q76" s="193">
        <v>5431000</v>
      </c>
      <c r="R76" s="194">
        <v>8.1804365409902987E-3</v>
      </c>
      <c r="S76" s="194">
        <v>2.3631535424709409E-2</v>
      </c>
      <c r="T76" s="194">
        <v>3.1811971965699702E-2</v>
      </c>
      <c r="U76" s="195" t="s">
        <v>747</v>
      </c>
      <c r="V76" s="195" t="s">
        <v>747</v>
      </c>
      <c r="W76" s="196" t="s">
        <v>747</v>
      </c>
      <c r="X76" s="195" t="s">
        <v>747</v>
      </c>
      <c r="Y76" s="193" t="s">
        <v>747</v>
      </c>
      <c r="Z76" s="194" t="s">
        <v>747</v>
      </c>
      <c r="AA76" s="196" t="s">
        <v>747</v>
      </c>
      <c r="AB76" s="194" t="s">
        <v>747</v>
      </c>
      <c r="AC76" s="194" t="s">
        <v>747</v>
      </c>
    </row>
    <row r="77" spans="1:36" ht="30" customHeight="1" x14ac:dyDescent="0.3">
      <c r="A77" s="255" t="s">
        <v>154</v>
      </c>
      <c r="B77" s="255" t="s">
        <v>141</v>
      </c>
      <c r="C77" s="255">
        <v>11002</v>
      </c>
      <c r="D77" s="255">
        <v>3791</v>
      </c>
      <c r="E77" s="255" t="s">
        <v>83</v>
      </c>
      <c r="F77" s="255" t="s">
        <v>747</v>
      </c>
      <c r="G77" s="255" t="s">
        <v>747</v>
      </c>
      <c r="H77" s="255" t="s">
        <v>747</v>
      </c>
      <c r="I77" s="255" t="s">
        <v>747</v>
      </c>
      <c r="J77" s="255" t="s">
        <v>748</v>
      </c>
      <c r="K77" s="256">
        <v>846409000</v>
      </c>
      <c r="L77" s="256">
        <v>869013000</v>
      </c>
      <c r="M77" s="256">
        <v>716535942.46000004</v>
      </c>
      <c r="N77" s="256">
        <v>2867057.54</v>
      </c>
      <c r="O77" s="256">
        <v>867024000</v>
      </c>
      <c r="P77" s="257">
        <v>1989000</v>
      </c>
      <c r="Q77" s="257">
        <v>-20615000</v>
      </c>
      <c r="R77" s="258">
        <v>-2.3722314856049333E-2</v>
      </c>
      <c r="S77" s="258">
        <v>2.6011118360714972E-2</v>
      </c>
      <c r="T77" s="258">
        <v>2.2888035046656381E-3</v>
      </c>
      <c r="U77" s="259" t="s">
        <v>747</v>
      </c>
      <c r="V77" s="259" t="s">
        <v>747</v>
      </c>
      <c r="W77" s="260" t="s">
        <v>747</v>
      </c>
      <c r="X77" s="259" t="s">
        <v>747</v>
      </c>
      <c r="Y77" s="257" t="s">
        <v>747</v>
      </c>
      <c r="Z77" s="258" t="s">
        <v>747</v>
      </c>
      <c r="AA77" s="260" t="s">
        <v>747</v>
      </c>
      <c r="AB77" s="258" t="s">
        <v>747</v>
      </c>
      <c r="AC77" s="258" t="s">
        <v>747</v>
      </c>
      <c r="AD77" s="262"/>
      <c r="AE77" s="263"/>
      <c r="AF77" s="263"/>
      <c r="AG77" s="263"/>
      <c r="AH77" s="263"/>
      <c r="AI77" s="263"/>
      <c r="AJ77" s="263"/>
    </row>
    <row r="78" spans="1:36" ht="30" customHeight="1" x14ac:dyDescent="0.3">
      <c r="A78" s="191" t="s">
        <v>157</v>
      </c>
      <c r="B78" s="191" t="s">
        <v>141</v>
      </c>
      <c r="C78" s="191">
        <v>11004</v>
      </c>
      <c r="D78" s="191">
        <v>3791</v>
      </c>
      <c r="E78" s="191" t="s">
        <v>83</v>
      </c>
      <c r="F78" s="191" t="s">
        <v>747</v>
      </c>
      <c r="G78" s="191" t="s">
        <v>747</v>
      </c>
      <c r="H78" s="191" t="s">
        <v>747</v>
      </c>
      <c r="I78" s="191" t="s">
        <v>747</v>
      </c>
      <c r="J78" s="191" t="s">
        <v>748</v>
      </c>
      <c r="K78" s="192">
        <v>148816000</v>
      </c>
      <c r="L78" s="192">
        <v>148763000</v>
      </c>
      <c r="M78" s="192">
        <v>129100716.48</v>
      </c>
      <c r="N78" s="192">
        <v>2386283.52</v>
      </c>
      <c r="O78" s="192">
        <v>169081000</v>
      </c>
      <c r="P78" s="193">
        <v>-20318000</v>
      </c>
      <c r="Q78" s="193">
        <v>-20265000</v>
      </c>
      <c r="R78" s="194">
        <v>-0.13622338888029953</v>
      </c>
      <c r="S78" s="194">
        <v>-3.5627138468570817E-4</v>
      </c>
      <c r="T78" s="194">
        <v>-0.13657966026498525</v>
      </c>
      <c r="U78" s="195" t="s">
        <v>747</v>
      </c>
      <c r="V78" s="195" t="s">
        <v>747</v>
      </c>
      <c r="W78" s="196" t="s">
        <v>747</v>
      </c>
      <c r="X78" s="195" t="s">
        <v>747</v>
      </c>
      <c r="Y78" s="193" t="s">
        <v>747</v>
      </c>
      <c r="Z78" s="194" t="s">
        <v>747</v>
      </c>
      <c r="AA78" s="196" t="s">
        <v>747</v>
      </c>
      <c r="AB78" s="194" t="s">
        <v>747</v>
      </c>
      <c r="AC78" s="194" t="s">
        <v>747</v>
      </c>
    </row>
    <row r="79" spans="1:36" ht="30" customHeight="1" x14ac:dyDescent="0.3">
      <c r="A79" s="255" t="s">
        <v>616</v>
      </c>
      <c r="B79" s="255" t="s">
        <v>510</v>
      </c>
      <c r="C79" s="255">
        <v>11394</v>
      </c>
      <c r="D79" s="255">
        <v>3888</v>
      </c>
      <c r="E79" s="255" t="s">
        <v>83</v>
      </c>
      <c r="F79" s="255" t="s">
        <v>747</v>
      </c>
      <c r="G79" s="255" t="s">
        <v>747</v>
      </c>
      <c r="H79" s="255" t="s">
        <v>747</v>
      </c>
      <c r="I79" s="255" t="s">
        <v>747</v>
      </c>
      <c r="J79" s="255" t="s">
        <v>749</v>
      </c>
      <c r="K79" s="256">
        <v>1550457</v>
      </c>
      <c r="L79" s="256">
        <v>1550457</v>
      </c>
      <c r="M79" s="256">
        <v>1742825</v>
      </c>
      <c r="N79" s="256">
        <v>354797</v>
      </c>
      <c r="O79" s="256">
        <v>2595786</v>
      </c>
      <c r="P79" s="257">
        <v>-1045329</v>
      </c>
      <c r="Q79" s="257">
        <v>-1045329</v>
      </c>
      <c r="R79" s="258">
        <v>-0.67420702412256517</v>
      </c>
      <c r="S79" s="258">
        <v>0</v>
      </c>
      <c r="T79" s="258">
        <v>-0.67420702412256517</v>
      </c>
      <c r="U79" s="259" t="s">
        <v>747</v>
      </c>
      <c r="V79" s="259" t="s">
        <v>747</v>
      </c>
      <c r="W79" s="260" t="s">
        <v>747</v>
      </c>
      <c r="X79" s="259" t="s">
        <v>747</v>
      </c>
      <c r="Y79" s="257" t="s">
        <v>747</v>
      </c>
      <c r="Z79" s="258" t="s">
        <v>747</v>
      </c>
      <c r="AA79" s="260" t="s">
        <v>747</v>
      </c>
      <c r="AB79" s="258" t="s">
        <v>747</v>
      </c>
      <c r="AC79" s="258" t="s">
        <v>747</v>
      </c>
      <c r="AD79" s="262"/>
      <c r="AE79" s="263"/>
      <c r="AF79" s="263"/>
      <c r="AG79" s="263"/>
      <c r="AH79" s="263"/>
      <c r="AI79" s="263"/>
      <c r="AJ79" s="263"/>
    </row>
    <row r="80" spans="1:36" ht="30" customHeight="1" x14ac:dyDescent="0.3">
      <c r="A80" s="191" t="s">
        <v>182</v>
      </c>
      <c r="B80" s="191" t="s">
        <v>180</v>
      </c>
      <c r="C80" s="191">
        <v>11397</v>
      </c>
      <c r="D80" s="191">
        <v>12773</v>
      </c>
      <c r="E80" s="191" t="s">
        <v>83</v>
      </c>
      <c r="F80" s="191" t="s">
        <v>747</v>
      </c>
      <c r="G80" s="191" t="s">
        <v>747</v>
      </c>
      <c r="H80" s="191" t="s">
        <v>747</v>
      </c>
      <c r="I80" s="191" t="s">
        <v>747</v>
      </c>
      <c r="J80" s="191" t="s">
        <v>748</v>
      </c>
      <c r="K80" s="192">
        <v>34941045</v>
      </c>
      <c r="L80" s="192">
        <v>34941045</v>
      </c>
      <c r="M80" s="192">
        <v>39093788</v>
      </c>
      <c r="N80" s="192">
        <v>0</v>
      </c>
      <c r="O80" s="192">
        <v>47288064</v>
      </c>
      <c r="P80" s="193">
        <v>-12347019</v>
      </c>
      <c r="Q80" s="193">
        <v>-12347019</v>
      </c>
      <c r="R80" s="194">
        <v>-0.35336719322504523</v>
      </c>
      <c r="S80" s="194">
        <v>0</v>
      </c>
      <c r="T80" s="194">
        <v>-0.35336719322504523</v>
      </c>
      <c r="U80" s="195" t="s">
        <v>747</v>
      </c>
      <c r="V80" s="195" t="s">
        <v>747</v>
      </c>
      <c r="W80" s="196" t="s">
        <v>747</v>
      </c>
      <c r="X80" s="195" t="s">
        <v>747</v>
      </c>
      <c r="Y80" s="193" t="s">
        <v>747</v>
      </c>
      <c r="Z80" s="194" t="s">
        <v>747</v>
      </c>
      <c r="AA80" s="196" t="s">
        <v>747</v>
      </c>
      <c r="AB80" s="194" t="s">
        <v>747</v>
      </c>
      <c r="AC80" s="194" t="s">
        <v>747</v>
      </c>
    </row>
    <row r="81" spans="1:36" ht="30" customHeight="1" x14ac:dyDescent="0.3">
      <c r="A81" s="255" t="s">
        <v>108</v>
      </c>
      <c r="B81" s="255" t="s">
        <v>90</v>
      </c>
      <c r="C81" s="255">
        <v>11404</v>
      </c>
      <c r="D81" s="255">
        <v>16665</v>
      </c>
      <c r="E81" s="255" t="s">
        <v>83</v>
      </c>
      <c r="F81" s="255" t="s">
        <v>747</v>
      </c>
      <c r="G81" s="255" t="s">
        <v>747</v>
      </c>
      <c r="H81" s="255" t="s">
        <v>747</v>
      </c>
      <c r="I81" s="255" t="s">
        <v>747</v>
      </c>
      <c r="J81" s="255" t="s">
        <v>748</v>
      </c>
      <c r="K81" s="256">
        <v>48232000</v>
      </c>
      <c r="L81" s="256">
        <v>48232000</v>
      </c>
      <c r="M81" s="256">
        <v>29851881</v>
      </c>
      <c r="N81" s="256">
        <v>32119</v>
      </c>
      <c r="O81" s="256">
        <v>67300000</v>
      </c>
      <c r="P81" s="257">
        <v>-19068000</v>
      </c>
      <c r="Q81" s="257">
        <v>-19068000</v>
      </c>
      <c r="R81" s="258">
        <v>-0.39533919389616851</v>
      </c>
      <c r="S81" s="258">
        <v>0</v>
      </c>
      <c r="T81" s="258">
        <v>-0.39533919389616851</v>
      </c>
      <c r="U81" s="259" t="s">
        <v>747</v>
      </c>
      <c r="V81" s="259" t="s">
        <v>747</v>
      </c>
      <c r="W81" s="260" t="s">
        <v>747</v>
      </c>
      <c r="X81" s="259" t="s">
        <v>747</v>
      </c>
      <c r="Y81" s="257" t="s">
        <v>747</v>
      </c>
      <c r="Z81" s="258" t="s">
        <v>747</v>
      </c>
      <c r="AA81" s="260" t="s">
        <v>747</v>
      </c>
      <c r="AB81" s="258" t="s">
        <v>747</v>
      </c>
      <c r="AC81" s="258" t="s">
        <v>747</v>
      </c>
      <c r="AD81" s="262"/>
      <c r="AE81" s="263"/>
      <c r="AF81" s="263"/>
      <c r="AG81" s="263"/>
      <c r="AH81" s="263"/>
      <c r="AI81" s="263"/>
      <c r="AJ81" s="263"/>
    </row>
    <row r="82" spans="1:36" ht="30" customHeight="1" x14ac:dyDescent="0.3">
      <c r="A82" s="191" t="s">
        <v>110</v>
      </c>
      <c r="B82" s="191" t="s">
        <v>90</v>
      </c>
      <c r="C82" s="191">
        <v>11408</v>
      </c>
      <c r="D82" s="191">
        <v>16665</v>
      </c>
      <c r="E82" s="191" t="s">
        <v>83</v>
      </c>
      <c r="F82" s="191" t="s">
        <v>747</v>
      </c>
      <c r="G82" s="191" t="s">
        <v>747</v>
      </c>
      <c r="H82" s="191" t="s">
        <v>747</v>
      </c>
      <c r="I82" s="191" t="s">
        <v>747</v>
      </c>
      <c r="J82" s="191" t="s">
        <v>748</v>
      </c>
      <c r="K82" s="192">
        <v>36454000</v>
      </c>
      <c r="L82" s="192">
        <v>36454000</v>
      </c>
      <c r="M82" s="192">
        <v>35957000</v>
      </c>
      <c r="N82" s="192">
        <v>0</v>
      </c>
      <c r="O82" s="192">
        <v>58759000</v>
      </c>
      <c r="P82" s="193">
        <v>-22305000</v>
      </c>
      <c r="Q82" s="193">
        <v>-22305000</v>
      </c>
      <c r="R82" s="194">
        <v>-0.61186701047895975</v>
      </c>
      <c r="S82" s="194">
        <v>0</v>
      </c>
      <c r="T82" s="194">
        <v>-0.61186701047895975</v>
      </c>
      <c r="U82" s="195" t="s">
        <v>747</v>
      </c>
      <c r="V82" s="195" t="s">
        <v>747</v>
      </c>
      <c r="W82" s="196" t="s">
        <v>747</v>
      </c>
      <c r="X82" s="195" t="s">
        <v>747</v>
      </c>
      <c r="Y82" s="193" t="s">
        <v>747</v>
      </c>
      <c r="Z82" s="194" t="s">
        <v>747</v>
      </c>
      <c r="AA82" s="196" t="s">
        <v>747</v>
      </c>
      <c r="AB82" s="194" t="s">
        <v>747</v>
      </c>
      <c r="AC82" s="194" t="s">
        <v>747</v>
      </c>
    </row>
    <row r="83" spans="1:36" ht="30" customHeight="1" x14ac:dyDescent="0.3">
      <c r="A83" s="255" t="s">
        <v>82</v>
      </c>
      <c r="B83" s="255" t="s">
        <v>74</v>
      </c>
      <c r="C83" s="255">
        <v>11490</v>
      </c>
      <c r="D83" s="255">
        <v>4066</v>
      </c>
      <c r="E83" s="255" t="s">
        <v>83</v>
      </c>
      <c r="F83" s="255" t="s">
        <v>747</v>
      </c>
      <c r="G83" s="255" t="s">
        <v>747</v>
      </c>
      <c r="H83" s="255" t="s">
        <v>747</v>
      </c>
      <c r="I83" s="255" t="s">
        <v>747</v>
      </c>
      <c r="J83" s="255" t="s">
        <v>748</v>
      </c>
      <c r="K83" s="256">
        <v>250050000</v>
      </c>
      <c r="L83" s="256">
        <v>250050000</v>
      </c>
      <c r="M83" s="256">
        <v>246921000</v>
      </c>
      <c r="N83" s="256" t="s">
        <v>747</v>
      </c>
      <c r="O83" s="256">
        <v>301062000</v>
      </c>
      <c r="P83" s="257">
        <v>-51012000</v>
      </c>
      <c r="Q83" s="257">
        <v>-51012000</v>
      </c>
      <c r="R83" s="258">
        <v>-0.20400719856028796</v>
      </c>
      <c r="S83" s="258">
        <v>0</v>
      </c>
      <c r="T83" s="258">
        <v>-0.20400719856028796</v>
      </c>
      <c r="U83" s="259" t="s">
        <v>747</v>
      </c>
      <c r="V83" s="259" t="s">
        <v>747</v>
      </c>
      <c r="W83" s="260" t="s">
        <v>747</v>
      </c>
      <c r="X83" s="259" t="s">
        <v>747</v>
      </c>
      <c r="Y83" s="257" t="s">
        <v>747</v>
      </c>
      <c r="Z83" s="258" t="s">
        <v>747</v>
      </c>
      <c r="AA83" s="260" t="s">
        <v>747</v>
      </c>
      <c r="AB83" s="258" t="s">
        <v>747</v>
      </c>
      <c r="AC83" s="258" t="s">
        <v>747</v>
      </c>
      <c r="AD83" s="262"/>
      <c r="AE83" s="263"/>
      <c r="AF83" s="263"/>
      <c r="AG83" s="263"/>
      <c r="AH83" s="263"/>
      <c r="AI83" s="263"/>
      <c r="AJ83" s="263"/>
    </row>
    <row r="84" spans="1:36" ht="30" customHeight="1" x14ac:dyDescent="0.3">
      <c r="A84" s="191" t="s">
        <v>172</v>
      </c>
      <c r="B84" s="191" t="s">
        <v>636</v>
      </c>
      <c r="C84" s="191">
        <v>11497</v>
      </c>
      <c r="D84" s="191">
        <v>4027</v>
      </c>
      <c r="E84" s="191" t="s">
        <v>83</v>
      </c>
      <c r="F84" s="191" t="s">
        <v>747</v>
      </c>
      <c r="G84" s="191" t="s">
        <v>747</v>
      </c>
      <c r="H84" s="191" t="s">
        <v>747</v>
      </c>
      <c r="I84" s="191" t="s">
        <v>747</v>
      </c>
      <c r="J84" s="191" t="s">
        <v>748</v>
      </c>
      <c r="K84" s="192">
        <v>169065070.75999999</v>
      </c>
      <c r="L84" s="192">
        <v>169065070.75999999</v>
      </c>
      <c r="M84" s="192">
        <v>185626248.15000001</v>
      </c>
      <c r="N84" s="192">
        <v>6384574.6299999999</v>
      </c>
      <c r="O84" s="192">
        <v>221067139.94999999</v>
      </c>
      <c r="P84" s="193">
        <v>-52002069.189999998</v>
      </c>
      <c r="Q84" s="193">
        <v>-52002069.189999998</v>
      </c>
      <c r="R84" s="194">
        <v>-0.30758612028040178</v>
      </c>
      <c r="S84" s="194">
        <v>0</v>
      </c>
      <c r="T84" s="194">
        <v>-0.30758612028040178</v>
      </c>
      <c r="U84" s="195" t="s">
        <v>747</v>
      </c>
      <c r="V84" s="195" t="s">
        <v>747</v>
      </c>
      <c r="W84" s="196" t="s">
        <v>747</v>
      </c>
      <c r="X84" s="195" t="s">
        <v>747</v>
      </c>
      <c r="Y84" s="193" t="s">
        <v>747</v>
      </c>
      <c r="Z84" s="194" t="s">
        <v>747</v>
      </c>
      <c r="AA84" s="196" t="s">
        <v>747</v>
      </c>
      <c r="AB84" s="194" t="s">
        <v>747</v>
      </c>
      <c r="AC84" s="194" t="s">
        <v>747</v>
      </c>
    </row>
    <row r="85" spans="1:36" ht="30" customHeight="1" x14ac:dyDescent="0.3">
      <c r="A85" s="255" t="s">
        <v>103</v>
      </c>
      <c r="B85" s="255" t="s">
        <v>90</v>
      </c>
      <c r="C85" s="255">
        <v>11761</v>
      </c>
      <c r="D85" s="255">
        <v>16665</v>
      </c>
      <c r="E85" s="255" t="s">
        <v>83</v>
      </c>
      <c r="F85" s="255" t="s">
        <v>747</v>
      </c>
      <c r="G85" s="255" t="s">
        <v>747</v>
      </c>
      <c r="H85" s="255" t="s">
        <v>747</v>
      </c>
      <c r="I85" s="255" t="s">
        <v>747</v>
      </c>
      <c r="J85" s="255" t="s">
        <v>748</v>
      </c>
      <c r="K85" s="256">
        <v>2501000</v>
      </c>
      <c r="L85" s="256">
        <v>2489000</v>
      </c>
      <c r="M85" s="256">
        <v>4150000</v>
      </c>
      <c r="N85" s="256">
        <v>0</v>
      </c>
      <c r="O85" s="256">
        <v>4613000</v>
      </c>
      <c r="P85" s="257">
        <v>-2124000</v>
      </c>
      <c r="Q85" s="257">
        <v>-2112000</v>
      </c>
      <c r="R85" s="258">
        <v>-0.84853354760948174</v>
      </c>
      <c r="S85" s="258">
        <v>-4.8212133386902369E-3</v>
      </c>
      <c r="T85" s="258">
        <v>-0.85335476094817198</v>
      </c>
      <c r="U85" s="259" t="s">
        <v>747</v>
      </c>
      <c r="V85" s="259" t="s">
        <v>747</v>
      </c>
      <c r="W85" s="260" t="s">
        <v>747</v>
      </c>
      <c r="X85" s="259" t="s">
        <v>747</v>
      </c>
      <c r="Y85" s="257" t="s">
        <v>747</v>
      </c>
      <c r="Z85" s="258" t="s">
        <v>747</v>
      </c>
      <c r="AA85" s="260" t="s">
        <v>747</v>
      </c>
      <c r="AB85" s="258" t="s">
        <v>747</v>
      </c>
      <c r="AC85" s="258" t="s">
        <v>747</v>
      </c>
      <c r="AD85" s="262"/>
      <c r="AE85" s="263"/>
      <c r="AF85" s="263"/>
      <c r="AG85" s="263"/>
      <c r="AH85" s="263"/>
      <c r="AI85" s="263"/>
      <c r="AJ85" s="263"/>
    </row>
    <row r="86" spans="1:36" ht="30" customHeight="1" x14ac:dyDescent="0.3">
      <c r="A86" s="191" t="s">
        <v>88</v>
      </c>
      <c r="B86" s="191" t="s">
        <v>85</v>
      </c>
      <c r="C86" s="191">
        <v>11794</v>
      </c>
      <c r="D86" s="191">
        <v>3106</v>
      </c>
      <c r="E86" s="191" t="s">
        <v>83</v>
      </c>
      <c r="F86" s="191" t="s">
        <v>747</v>
      </c>
      <c r="G86" s="191" t="s">
        <v>747</v>
      </c>
      <c r="H86" s="191" t="s">
        <v>747</v>
      </c>
      <c r="I86" s="191" t="s">
        <v>747</v>
      </c>
      <c r="J86" s="191" t="s">
        <v>748</v>
      </c>
      <c r="K86" s="192">
        <v>31716640</v>
      </c>
      <c r="L86" s="192">
        <v>31716640</v>
      </c>
      <c r="M86" s="192">
        <v>42767187</v>
      </c>
      <c r="N86" s="192">
        <v>2092399</v>
      </c>
      <c r="O86" s="192">
        <v>54637472</v>
      </c>
      <c r="P86" s="193">
        <v>-22920832</v>
      </c>
      <c r="Q86" s="193">
        <v>-22920832</v>
      </c>
      <c r="R86" s="194">
        <v>-0.72267528969020678</v>
      </c>
      <c r="S86" s="194">
        <v>0</v>
      </c>
      <c r="T86" s="194">
        <v>-0.72267528969020678</v>
      </c>
      <c r="U86" s="195" t="s">
        <v>747</v>
      </c>
      <c r="V86" s="195" t="s">
        <v>747</v>
      </c>
      <c r="W86" s="196" t="s">
        <v>747</v>
      </c>
      <c r="X86" s="195" t="s">
        <v>747</v>
      </c>
      <c r="Y86" s="193" t="s">
        <v>747</v>
      </c>
      <c r="Z86" s="194" t="s">
        <v>747</v>
      </c>
      <c r="AA86" s="196" t="s">
        <v>747</v>
      </c>
      <c r="AB86" s="194" t="s">
        <v>747</v>
      </c>
      <c r="AC86" s="194" t="s">
        <v>747</v>
      </c>
    </row>
    <row r="87" spans="1:36" ht="30" customHeight="1" x14ac:dyDescent="0.3">
      <c r="A87" s="255" t="s">
        <v>102</v>
      </c>
      <c r="B87" s="255" t="s">
        <v>90</v>
      </c>
      <c r="C87" s="255">
        <v>11801</v>
      </c>
      <c r="D87" s="255">
        <v>16665</v>
      </c>
      <c r="E87" s="255" t="s">
        <v>83</v>
      </c>
      <c r="F87" s="255" t="s">
        <v>747</v>
      </c>
      <c r="G87" s="255" t="s">
        <v>747</v>
      </c>
      <c r="H87" s="255" t="s">
        <v>747</v>
      </c>
      <c r="I87" s="255" t="s">
        <v>747</v>
      </c>
      <c r="J87" s="255" t="s">
        <v>748</v>
      </c>
      <c r="K87" s="256">
        <v>66420000</v>
      </c>
      <c r="L87" s="256">
        <v>66420000</v>
      </c>
      <c r="M87" s="256">
        <v>74398710.989999995</v>
      </c>
      <c r="N87" s="256">
        <v>5289.01</v>
      </c>
      <c r="O87" s="256">
        <v>99343000</v>
      </c>
      <c r="P87" s="257">
        <v>-32923000</v>
      </c>
      <c r="Q87" s="257">
        <v>-32923000</v>
      </c>
      <c r="R87" s="258">
        <v>-0.49567901234567902</v>
      </c>
      <c r="S87" s="258">
        <v>0</v>
      </c>
      <c r="T87" s="258">
        <v>-0.49567901234567902</v>
      </c>
      <c r="U87" s="259" t="s">
        <v>747</v>
      </c>
      <c r="V87" s="259" t="s">
        <v>747</v>
      </c>
      <c r="W87" s="260" t="s">
        <v>747</v>
      </c>
      <c r="X87" s="259" t="s">
        <v>747</v>
      </c>
      <c r="Y87" s="257" t="s">
        <v>747</v>
      </c>
      <c r="Z87" s="258" t="s">
        <v>747</v>
      </c>
      <c r="AA87" s="260" t="s">
        <v>747</v>
      </c>
      <c r="AB87" s="258" t="s">
        <v>747</v>
      </c>
      <c r="AC87" s="258" t="s">
        <v>747</v>
      </c>
      <c r="AD87" s="262"/>
      <c r="AE87" s="263"/>
      <c r="AF87" s="263"/>
      <c r="AG87" s="263"/>
      <c r="AH87" s="263"/>
      <c r="AI87" s="263"/>
      <c r="AJ87" s="263"/>
    </row>
    <row r="88" spans="1:36" ht="30" customHeight="1" x14ac:dyDescent="0.3">
      <c r="A88" s="191" t="s">
        <v>126</v>
      </c>
      <c r="B88" s="191" t="s">
        <v>123</v>
      </c>
      <c r="C88" s="191">
        <v>11810</v>
      </c>
      <c r="D88" s="191">
        <v>3109</v>
      </c>
      <c r="E88" s="191" t="s">
        <v>83</v>
      </c>
      <c r="F88" s="191" t="s">
        <v>747</v>
      </c>
      <c r="G88" s="191" t="s">
        <v>747</v>
      </c>
      <c r="H88" s="191" t="s">
        <v>747</v>
      </c>
      <c r="I88" s="191" t="s">
        <v>747</v>
      </c>
      <c r="J88" s="191" t="s">
        <v>748</v>
      </c>
      <c r="K88" s="192">
        <v>56249987</v>
      </c>
      <c r="L88" s="192">
        <v>56249987</v>
      </c>
      <c r="M88" s="192">
        <v>60656262.5</v>
      </c>
      <c r="N88" s="192">
        <v>384202.5</v>
      </c>
      <c r="O88" s="192">
        <v>79920441</v>
      </c>
      <c r="P88" s="193">
        <v>-23670454</v>
      </c>
      <c r="Q88" s="193">
        <v>-23670454</v>
      </c>
      <c r="R88" s="194">
        <v>-0.42080816836455448</v>
      </c>
      <c r="S88" s="194">
        <v>0</v>
      </c>
      <c r="T88" s="194">
        <v>-0.42080816836455448</v>
      </c>
      <c r="U88" s="195" t="s">
        <v>747</v>
      </c>
      <c r="V88" s="195" t="s">
        <v>747</v>
      </c>
      <c r="W88" s="196" t="s">
        <v>747</v>
      </c>
      <c r="X88" s="195" t="s">
        <v>747</v>
      </c>
      <c r="Y88" s="193" t="s">
        <v>747</v>
      </c>
      <c r="Z88" s="194" t="s">
        <v>747</v>
      </c>
      <c r="AA88" s="196" t="s">
        <v>747</v>
      </c>
      <c r="AB88" s="194" t="s">
        <v>747</v>
      </c>
      <c r="AC88" s="194" t="s">
        <v>747</v>
      </c>
    </row>
    <row r="89" spans="1:36" ht="30" customHeight="1" x14ac:dyDescent="0.3">
      <c r="A89" s="255" t="s">
        <v>111</v>
      </c>
      <c r="B89" s="255" t="s">
        <v>90</v>
      </c>
      <c r="C89" s="255">
        <v>11915</v>
      </c>
      <c r="D89" s="255">
        <v>16665</v>
      </c>
      <c r="E89" s="255" t="s">
        <v>83</v>
      </c>
      <c r="F89" s="255" t="s">
        <v>747</v>
      </c>
      <c r="G89" s="255" t="s">
        <v>747</v>
      </c>
      <c r="H89" s="255" t="s">
        <v>747</v>
      </c>
      <c r="I89" s="255" t="s">
        <v>747</v>
      </c>
      <c r="J89" s="255" t="s">
        <v>748</v>
      </c>
      <c r="K89" s="256">
        <v>6887000</v>
      </c>
      <c r="L89" s="256">
        <v>6887000</v>
      </c>
      <c r="M89" s="256">
        <v>7192000</v>
      </c>
      <c r="N89" s="256">
        <v>0</v>
      </c>
      <c r="O89" s="256">
        <v>10086000</v>
      </c>
      <c r="P89" s="257">
        <v>-3199000</v>
      </c>
      <c r="Q89" s="257">
        <v>-3199000</v>
      </c>
      <c r="R89" s="258">
        <v>-0.46449833018730941</v>
      </c>
      <c r="S89" s="258">
        <v>0</v>
      </c>
      <c r="T89" s="258">
        <v>-0.46449833018730941</v>
      </c>
      <c r="U89" s="259" t="s">
        <v>747</v>
      </c>
      <c r="V89" s="259" t="s">
        <v>747</v>
      </c>
      <c r="W89" s="260" t="s">
        <v>747</v>
      </c>
      <c r="X89" s="259" t="s">
        <v>747</v>
      </c>
      <c r="Y89" s="257" t="s">
        <v>747</v>
      </c>
      <c r="Z89" s="258" t="s">
        <v>747</v>
      </c>
      <c r="AA89" s="260" t="s">
        <v>747</v>
      </c>
      <c r="AB89" s="258" t="s">
        <v>747</v>
      </c>
      <c r="AC89" s="258" t="s">
        <v>747</v>
      </c>
      <c r="AD89" s="262"/>
      <c r="AE89" s="263"/>
      <c r="AF89" s="263"/>
      <c r="AG89" s="263"/>
      <c r="AH89" s="263"/>
      <c r="AI89" s="263"/>
      <c r="AJ89" s="263"/>
    </row>
    <row r="90" spans="1:36" ht="30" customHeight="1" x14ac:dyDescent="0.3">
      <c r="A90" s="191" t="s">
        <v>112</v>
      </c>
      <c r="B90" s="191" t="s">
        <v>90</v>
      </c>
      <c r="C90" s="191">
        <v>12022</v>
      </c>
      <c r="D90" s="191">
        <v>16665</v>
      </c>
      <c r="E90" s="191" t="s">
        <v>83</v>
      </c>
      <c r="F90" s="191" t="s">
        <v>747</v>
      </c>
      <c r="G90" s="191" t="s">
        <v>747</v>
      </c>
      <c r="H90" s="191" t="s">
        <v>747</v>
      </c>
      <c r="I90" s="191" t="s">
        <v>747</v>
      </c>
      <c r="J90" s="191" t="s">
        <v>748</v>
      </c>
      <c r="K90" s="192">
        <v>-130000</v>
      </c>
      <c r="L90" s="192">
        <v>-130000</v>
      </c>
      <c r="M90" s="192">
        <v>0</v>
      </c>
      <c r="N90" s="192">
        <v>0</v>
      </c>
      <c r="O90" s="192">
        <v>0</v>
      </c>
      <c r="P90" s="193">
        <v>-130000</v>
      </c>
      <c r="Q90" s="193">
        <v>-130000</v>
      </c>
      <c r="R90" s="194">
        <v>1</v>
      </c>
      <c r="S90" s="194">
        <v>0</v>
      </c>
      <c r="T90" s="194">
        <v>1</v>
      </c>
      <c r="U90" s="195" t="s">
        <v>747</v>
      </c>
      <c r="V90" s="195" t="s">
        <v>747</v>
      </c>
      <c r="W90" s="196" t="s">
        <v>747</v>
      </c>
      <c r="X90" s="195" t="s">
        <v>747</v>
      </c>
      <c r="Y90" s="193" t="s">
        <v>747</v>
      </c>
      <c r="Z90" s="194" t="s">
        <v>747</v>
      </c>
      <c r="AA90" s="196" t="s">
        <v>747</v>
      </c>
      <c r="AB90" s="194" t="s">
        <v>747</v>
      </c>
      <c r="AC90" s="194" t="s">
        <v>747</v>
      </c>
    </row>
    <row r="91" spans="1:36" ht="30" customHeight="1" x14ac:dyDescent="0.3">
      <c r="A91" s="255" t="s">
        <v>105</v>
      </c>
      <c r="B91" s="255" t="s">
        <v>90</v>
      </c>
      <c r="C91" s="255">
        <v>12037</v>
      </c>
      <c r="D91" s="255">
        <v>16665</v>
      </c>
      <c r="E91" s="255" t="s">
        <v>83</v>
      </c>
      <c r="F91" s="255" t="s">
        <v>747</v>
      </c>
      <c r="G91" s="255" t="s">
        <v>747</v>
      </c>
      <c r="H91" s="255" t="s">
        <v>747</v>
      </c>
      <c r="I91" s="255" t="s">
        <v>747</v>
      </c>
      <c r="J91" s="255" t="s">
        <v>748</v>
      </c>
      <c r="K91" s="256">
        <v>23584000</v>
      </c>
      <c r="L91" s="256">
        <v>23584000</v>
      </c>
      <c r="M91" s="256">
        <v>28345000</v>
      </c>
      <c r="N91" s="256">
        <v>0</v>
      </c>
      <c r="O91" s="256">
        <v>36564000</v>
      </c>
      <c r="P91" s="257">
        <v>-12980000</v>
      </c>
      <c r="Q91" s="257">
        <v>-12980000</v>
      </c>
      <c r="R91" s="258">
        <v>-0.55037313432835822</v>
      </c>
      <c r="S91" s="258">
        <v>0</v>
      </c>
      <c r="T91" s="258">
        <v>-0.55037313432835822</v>
      </c>
      <c r="U91" s="259" t="s">
        <v>747</v>
      </c>
      <c r="V91" s="259" t="s">
        <v>747</v>
      </c>
      <c r="W91" s="260" t="s">
        <v>747</v>
      </c>
      <c r="X91" s="259" t="s">
        <v>747</v>
      </c>
      <c r="Y91" s="257" t="s">
        <v>747</v>
      </c>
      <c r="Z91" s="258" t="s">
        <v>747</v>
      </c>
      <c r="AA91" s="260" t="s">
        <v>747</v>
      </c>
      <c r="AB91" s="258" t="s">
        <v>747</v>
      </c>
      <c r="AC91" s="258" t="s">
        <v>747</v>
      </c>
      <c r="AD91" s="262"/>
      <c r="AE91" s="263"/>
      <c r="AF91" s="263"/>
      <c r="AG91" s="263"/>
      <c r="AH91" s="263"/>
      <c r="AI91" s="263"/>
      <c r="AJ91" s="263"/>
    </row>
    <row r="92" spans="1:36" ht="30" customHeight="1" x14ac:dyDescent="0.3">
      <c r="A92" s="191" t="s">
        <v>89</v>
      </c>
      <c r="B92" s="191" t="s">
        <v>85</v>
      </c>
      <c r="C92" s="191">
        <v>12118</v>
      </c>
      <c r="D92" s="191">
        <v>3106</v>
      </c>
      <c r="E92" s="191" t="s">
        <v>83</v>
      </c>
      <c r="F92" s="191" t="s">
        <v>747</v>
      </c>
      <c r="G92" s="191" t="s">
        <v>747</v>
      </c>
      <c r="H92" s="191" t="s">
        <v>747</v>
      </c>
      <c r="I92" s="191" t="s">
        <v>747</v>
      </c>
      <c r="J92" s="191" t="s">
        <v>748</v>
      </c>
      <c r="K92" s="192">
        <v>904276</v>
      </c>
      <c r="L92" s="192">
        <v>904276</v>
      </c>
      <c r="M92" s="192">
        <v>1135374</v>
      </c>
      <c r="N92" s="192">
        <v>81900</v>
      </c>
      <c r="O92" s="192">
        <v>1373731</v>
      </c>
      <c r="P92" s="193">
        <v>-469455</v>
      </c>
      <c r="Q92" s="193">
        <v>-469455</v>
      </c>
      <c r="R92" s="194">
        <v>-0.51915012673121919</v>
      </c>
      <c r="S92" s="194">
        <v>0</v>
      </c>
      <c r="T92" s="194">
        <v>-0.51915012673121919</v>
      </c>
      <c r="U92" s="195" t="s">
        <v>747</v>
      </c>
      <c r="V92" s="195" t="s">
        <v>747</v>
      </c>
      <c r="W92" s="196" t="s">
        <v>747</v>
      </c>
      <c r="X92" s="195" t="s">
        <v>747</v>
      </c>
      <c r="Y92" s="193" t="s">
        <v>747</v>
      </c>
      <c r="Z92" s="194" t="s">
        <v>747</v>
      </c>
      <c r="AA92" s="196" t="s">
        <v>747</v>
      </c>
      <c r="AB92" s="194" t="s">
        <v>747</v>
      </c>
      <c r="AC92" s="194" t="s">
        <v>747</v>
      </c>
    </row>
    <row r="93" spans="1:36" ht="30" customHeight="1" x14ac:dyDescent="0.3">
      <c r="A93" s="255" t="s">
        <v>185</v>
      </c>
      <c r="B93" s="255" t="s">
        <v>183</v>
      </c>
      <c r="C93" s="255">
        <v>12151</v>
      </c>
      <c r="D93" s="255">
        <v>14288</v>
      </c>
      <c r="E93" s="255" t="s">
        <v>83</v>
      </c>
      <c r="F93" s="255" t="s">
        <v>747</v>
      </c>
      <c r="G93" s="255" t="s">
        <v>747</v>
      </c>
      <c r="H93" s="255" t="s">
        <v>747</v>
      </c>
      <c r="I93" s="255" t="s">
        <v>747</v>
      </c>
      <c r="J93" s="255" t="s">
        <v>750</v>
      </c>
      <c r="K93" s="256">
        <v>6066023</v>
      </c>
      <c r="L93" s="256">
        <v>6066023</v>
      </c>
      <c r="M93" s="256">
        <v>10263330</v>
      </c>
      <c r="N93" s="256">
        <v>85362</v>
      </c>
      <c r="O93" s="256">
        <v>14484902</v>
      </c>
      <c r="P93" s="257">
        <v>-8418879</v>
      </c>
      <c r="Q93" s="257">
        <v>-8418879</v>
      </c>
      <c r="R93" s="258">
        <v>-1.3878745596579505</v>
      </c>
      <c r="S93" s="258">
        <v>0</v>
      </c>
      <c r="T93" s="258">
        <v>-1.3878745596579505</v>
      </c>
      <c r="U93" s="259" t="s">
        <v>747</v>
      </c>
      <c r="V93" s="259" t="s">
        <v>747</v>
      </c>
      <c r="W93" s="260" t="s">
        <v>747</v>
      </c>
      <c r="X93" s="259" t="s">
        <v>747</v>
      </c>
      <c r="Y93" s="257" t="s">
        <v>747</v>
      </c>
      <c r="Z93" s="258" t="s">
        <v>747</v>
      </c>
      <c r="AA93" s="260" t="s">
        <v>747</v>
      </c>
      <c r="AB93" s="258" t="s">
        <v>747</v>
      </c>
      <c r="AC93" s="258" t="s">
        <v>747</v>
      </c>
      <c r="AD93" s="262"/>
      <c r="AE93" s="263"/>
      <c r="AF93" s="263"/>
      <c r="AG93" s="263"/>
      <c r="AH93" s="263"/>
      <c r="AI93" s="263"/>
      <c r="AJ93" s="263"/>
    </row>
    <row r="94" spans="1:36" ht="30" customHeight="1" x14ac:dyDescent="0.3">
      <c r="A94" s="191" t="s">
        <v>166</v>
      </c>
      <c r="B94" s="191" t="s">
        <v>167</v>
      </c>
      <c r="C94" s="191">
        <v>12759</v>
      </c>
      <c r="D94" s="191">
        <v>12759</v>
      </c>
      <c r="E94" s="191" t="s">
        <v>75</v>
      </c>
      <c r="F94" s="191" t="s">
        <v>747</v>
      </c>
      <c r="G94" s="191" t="s">
        <v>747</v>
      </c>
      <c r="H94" s="191" t="s">
        <v>747</v>
      </c>
      <c r="I94" s="191" t="s">
        <v>747</v>
      </c>
      <c r="J94" s="191" t="s">
        <v>748</v>
      </c>
      <c r="K94" s="192">
        <v>505201460</v>
      </c>
      <c r="L94" s="192">
        <v>507150752</v>
      </c>
      <c r="M94" s="192">
        <v>340407571</v>
      </c>
      <c r="N94" s="192">
        <v>2434120.4300000002</v>
      </c>
      <c r="O94" s="192">
        <v>502285985</v>
      </c>
      <c r="P94" s="193">
        <v>4864767</v>
      </c>
      <c r="Q94" s="193">
        <v>2915475</v>
      </c>
      <c r="R94" s="194">
        <v>5.7487344512505032E-3</v>
      </c>
      <c r="S94" s="194">
        <v>3.8436145314046581E-3</v>
      </c>
      <c r="T94" s="194">
        <v>9.5923489826551609E-3</v>
      </c>
      <c r="U94" s="195">
        <v>50.677061312283158</v>
      </c>
      <c r="V94" s="195">
        <v>61.928232899275294</v>
      </c>
      <c r="W94" s="196">
        <v>1.3790008648804863</v>
      </c>
      <c r="X94" s="195">
        <v>13.25268834984778</v>
      </c>
      <c r="Y94" s="193">
        <v>416949988</v>
      </c>
      <c r="Z94" s="194">
        <v>7.0621153652686411E-2</v>
      </c>
      <c r="AA94" s="196">
        <v>0.88663608435386032</v>
      </c>
      <c r="AB94" s="194">
        <v>0.50331789106840075</v>
      </c>
      <c r="AC94" s="194">
        <v>0.33055019757963733</v>
      </c>
    </row>
    <row r="95" spans="1:36" ht="30" customHeight="1" x14ac:dyDescent="0.3">
      <c r="A95" s="255" t="s">
        <v>203</v>
      </c>
      <c r="B95" s="255" t="s">
        <v>204</v>
      </c>
      <c r="C95" s="255">
        <v>12767</v>
      </c>
      <c r="D95" s="255">
        <v>12767</v>
      </c>
      <c r="E95" s="255" t="s">
        <v>75</v>
      </c>
      <c r="F95" s="255" t="s">
        <v>747</v>
      </c>
      <c r="G95" s="255" t="s">
        <v>747</v>
      </c>
      <c r="H95" s="255" t="s">
        <v>747</v>
      </c>
      <c r="I95" s="255" t="s">
        <v>747</v>
      </c>
      <c r="J95" s="255" t="s">
        <v>748</v>
      </c>
      <c r="K95" s="256">
        <v>171396766</v>
      </c>
      <c r="L95" s="256">
        <v>172908890</v>
      </c>
      <c r="M95" s="256">
        <v>109866309</v>
      </c>
      <c r="N95" s="256">
        <v>0</v>
      </c>
      <c r="O95" s="256">
        <v>168794443</v>
      </c>
      <c r="P95" s="257">
        <v>4114447</v>
      </c>
      <c r="Q95" s="257">
        <v>2602323</v>
      </c>
      <c r="R95" s="258">
        <v>1.5050255657762883E-2</v>
      </c>
      <c r="S95" s="258">
        <v>8.7452067964810826E-3</v>
      </c>
      <c r="T95" s="258">
        <v>2.3795462454243965E-2</v>
      </c>
      <c r="U95" s="259">
        <v>52.39513292436169</v>
      </c>
      <c r="V95" s="259">
        <v>63.133845509784884</v>
      </c>
      <c r="W95" s="260">
        <v>1.2636545863018229</v>
      </c>
      <c r="X95" s="259">
        <v>25.296005186644383</v>
      </c>
      <c r="Y95" s="257">
        <v>69938581</v>
      </c>
      <c r="Z95" s="258">
        <v>9.8487283504064826E-2</v>
      </c>
      <c r="AA95" s="260">
        <v>2.888028575388732</v>
      </c>
      <c r="AB95" s="258">
        <v>0.43409608679078887</v>
      </c>
      <c r="AC95" s="258">
        <v>0.23196198487414016</v>
      </c>
      <c r="AD95" s="262"/>
      <c r="AE95" s="263"/>
      <c r="AF95" s="263"/>
      <c r="AG95" s="263"/>
      <c r="AH95" s="263"/>
      <c r="AI95" s="263"/>
      <c r="AJ95" s="263"/>
    </row>
    <row r="96" spans="1:36" ht="30" customHeight="1" x14ac:dyDescent="0.3">
      <c r="A96" s="191" t="s">
        <v>179</v>
      </c>
      <c r="B96" s="191" t="s">
        <v>180</v>
      </c>
      <c r="C96" s="191">
        <v>12773</v>
      </c>
      <c r="D96" s="191">
        <v>12773</v>
      </c>
      <c r="E96" s="191" t="s">
        <v>75</v>
      </c>
      <c r="F96" s="191" t="s">
        <v>747</v>
      </c>
      <c r="G96" s="191" t="s">
        <v>747</v>
      </c>
      <c r="H96" s="191" t="s">
        <v>747</v>
      </c>
      <c r="I96" s="191" t="s">
        <v>747</v>
      </c>
      <c r="J96" s="191" t="s">
        <v>748</v>
      </c>
      <c r="K96" s="192">
        <v>172865856</v>
      </c>
      <c r="L96" s="192">
        <v>190122629</v>
      </c>
      <c r="M96" s="192">
        <v>113800150</v>
      </c>
      <c r="N96" s="192">
        <v>1132157.3699999999</v>
      </c>
      <c r="O96" s="192">
        <v>183946246</v>
      </c>
      <c r="P96" s="193">
        <v>6176383</v>
      </c>
      <c r="Q96" s="193">
        <v>-11080390</v>
      </c>
      <c r="R96" s="194">
        <v>-5.828022712646163E-2</v>
      </c>
      <c r="S96" s="194">
        <v>9.0766538895272697E-2</v>
      </c>
      <c r="T96" s="194">
        <v>3.2486311768811067E-2</v>
      </c>
      <c r="U96" s="195">
        <v>40.607216407703994</v>
      </c>
      <c r="V96" s="195">
        <v>38.052679737425592</v>
      </c>
      <c r="W96" s="196">
        <v>1.6375293487322631</v>
      </c>
      <c r="X96" s="195">
        <v>18.943168764323989</v>
      </c>
      <c r="Y96" s="193">
        <v>702718747</v>
      </c>
      <c r="Z96" s="194">
        <v>0.15346653682262773</v>
      </c>
      <c r="AA96" s="196">
        <v>15.197023018142897</v>
      </c>
      <c r="AB96" s="194">
        <v>0.86536575505211666</v>
      </c>
      <c r="AC96" s="194">
        <v>6.590739443018738E-2</v>
      </c>
    </row>
    <row r="97" spans="1:36" ht="30" customHeight="1" x14ac:dyDescent="0.3">
      <c r="A97" s="255" t="s">
        <v>190</v>
      </c>
      <c r="B97" s="255" t="s">
        <v>190</v>
      </c>
      <c r="C97" s="255">
        <v>12775</v>
      </c>
      <c r="D97" s="255">
        <v>12775</v>
      </c>
      <c r="E97" s="255" t="s">
        <v>75</v>
      </c>
      <c r="F97" s="255" t="s">
        <v>747</v>
      </c>
      <c r="G97" s="255" t="s">
        <v>747</v>
      </c>
      <c r="H97" s="255" t="s">
        <v>747</v>
      </c>
      <c r="I97" s="255" t="s">
        <v>747</v>
      </c>
      <c r="J97" s="255" t="s">
        <v>748</v>
      </c>
      <c r="K97" s="256">
        <v>1625218000</v>
      </c>
      <c r="L97" s="256">
        <v>1623622000</v>
      </c>
      <c r="M97" s="256">
        <v>845593000</v>
      </c>
      <c r="N97" s="256">
        <v>12161356.994999999</v>
      </c>
      <c r="O97" s="256">
        <v>1671585000</v>
      </c>
      <c r="P97" s="257">
        <v>-47963000</v>
      </c>
      <c r="Q97" s="257">
        <v>-46367000</v>
      </c>
      <c r="R97" s="258">
        <v>-2.8557755438150013E-2</v>
      </c>
      <c r="S97" s="258">
        <v>-9.8298741948556981E-4</v>
      </c>
      <c r="T97" s="258">
        <v>-2.9540742857635582E-2</v>
      </c>
      <c r="U97" s="259" t="s">
        <v>747</v>
      </c>
      <c r="V97" s="259" t="s">
        <v>747</v>
      </c>
      <c r="W97" s="260">
        <v>1.2369124517950083</v>
      </c>
      <c r="X97" s="259" t="s">
        <v>747</v>
      </c>
      <c r="Y97" s="257">
        <v>145572000</v>
      </c>
      <c r="Z97" s="258">
        <v>-4.8532252442180174E-3</v>
      </c>
      <c r="AA97" s="260">
        <v>0.32714539046892188</v>
      </c>
      <c r="AB97" s="258">
        <v>6.269658362796203E-2</v>
      </c>
      <c r="AC97" s="258">
        <v>0.90747937046715332</v>
      </c>
      <c r="AD97" s="262"/>
      <c r="AE97" s="263"/>
      <c r="AF97" s="263"/>
      <c r="AG97" s="263"/>
      <c r="AH97" s="263"/>
      <c r="AI97" s="263"/>
      <c r="AJ97" s="263"/>
    </row>
    <row r="98" spans="1:36" ht="30" customHeight="1" x14ac:dyDescent="0.3">
      <c r="A98" s="191" t="s">
        <v>130</v>
      </c>
      <c r="B98" s="191" t="s">
        <v>131</v>
      </c>
      <c r="C98" s="191">
        <v>12776</v>
      </c>
      <c r="D98" s="191">
        <v>12776</v>
      </c>
      <c r="E98" s="191" t="s">
        <v>75</v>
      </c>
      <c r="F98" s="191" t="s">
        <v>747</v>
      </c>
      <c r="G98" s="191" t="s">
        <v>747</v>
      </c>
      <c r="H98" s="191" t="s">
        <v>747</v>
      </c>
      <c r="I98" s="191" t="s">
        <v>747</v>
      </c>
      <c r="J98" s="191" t="s">
        <v>748</v>
      </c>
      <c r="K98" s="192">
        <v>208030046</v>
      </c>
      <c r="L98" s="192">
        <v>208867782</v>
      </c>
      <c r="M98" s="192">
        <v>115876233</v>
      </c>
      <c r="N98" s="192">
        <v>0</v>
      </c>
      <c r="O98" s="192">
        <v>208920223</v>
      </c>
      <c r="P98" s="193">
        <v>-52441</v>
      </c>
      <c r="Q98" s="193">
        <v>-890177</v>
      </c>
      <c r="R98" s="194">
        <v>-4.2619162777340165E-3</v>
      </c>
      <c r="S98" s="194">
        <v>4.0108435680137593E-3</v>
      </c>
      <c r="T98" s="194">
        <v>-2.5107270972025736E-4</v>
      </c>
      <c r="U98" s="195" t="s">
        <v>747</v>
      </c>
      <c r="V98" s="195" t="s">
        <v>747</v>
      </c>
      <c r="W98" s="196">
        <v>1.083026723348159</v>
      </c>
      <c r="X98" s="195" t="s">
        <v>747</v>
      </c>
      <c r="Y98" s="193">
        <v>139404926</v>
      </c>
      <c r="Z98" s="194">
        <v>3.5004906912889031E-2</v>
      </c>
      <c r="AA98" s="196">
        <v>0.6109891699428206</v>
      </c>
      <c r="AB98" s="194">
        <v>0.44474406856320231</v>
      </c>
      <c r="AC98" s="194">
        <v>0.44092030807120441</v>
      </c>
    </row>
    <row r="99" spans="1:36" ht="30" customHeight="1" x14ac:dyDescent="0.3">
      <c r="A99" s="255" t="s">
        <v>133</v>
      </c>
      <c r="B99" s="255" t="s">
        <v>134</v>
      </c>
      <c r="C99" s="255">
        <v>12807</v>
      </c>
      <c r="D99" s="255">
        <v>12807</v>
      </c>
      <c r="E99" s="255" t="s">
        <v>75</v>
      </c>
      <c r="F99" s="255" t="s">
        <v>747</v>
      </c>
      <c r="G99" s="255" t="s">
        <v>747</v>
      </c>
      <c r="H99" s="255" t="s">
        <v>747</v>
      </c>
      <c r="I99" s="255" t="s">
        <v>747</v>
      </c>
      <c r="J99" s="255" t="s">
        <v>748</v>
      </c>
      <c r="K99" s="256">
        <v>129168164</v>
      </c>
      <c r="L99" s="256">
        <v>129858952</v>
      </c>
      <c r="M99" s="256">
        <v>61536981</v>
      </c>
      <c r="N99" s="256">
        <v>1770864.1099999999</v>
      </c>
      <c r="O99" s="256">
        <v>134385060</v>
      </c>
      <c r="P99" s="257">
        <v>-4526108</v>
      </c>
      <c r="Q99" s="257">
        <v>-5216896</v>
      </c>
      <c r="R99" s="258">
        <v>-4.017355692197485E-2</v>
      </c>
      <c r="S99" s="258">
        <v>5.3195254494276221E-3</v>
      </c>
      <c r="T99" s="258">
        <v>-3.4854031472547231E-2</v>
      </c>
      <c r="U99" s="259" t="s">
        <v>747</v>
      </c>
      <c r="V99" s="259" t="s">
        <v>747</v>
      </c>
      <c r="W99" s="260">
        <v>0.93503040731281362</v>
      </c>
      <c r="X99" s="259" t="s">
        <v>747</v>
      </c>
      <c r="Y99" s="257">
        <v>33324916</v>
      </c>
      <c r="Z99" s="258">
        <v>-9.038094484212807E-3</v>
      </c>
      <c r="AA99" s="260">
        <v>-0.48310471967237267</v>
      </c>
      <c r="AB99" s="258">
        <v>0.18948792812438947</v>
      </c>
      <c r="AC99" s="258">
        <v>0.69505642660275424</v>
      </c>
      <c r="AD99" s="262"/>
      <c r="AE99" s="263"/>
      <c r="AF99" s="263"/>
      <c r="AG99" s="263"/>
      <c r="AH99" s="263"/>
      <c r="AI99" s="263"/>
      <c r="AJ99" s="263"/>
    </row>
    <row r="100" spans="1:36" ht="30" customHeight="1" x14ac:dyDescent="0.3">
      <c r="A100" s="191" t="s">
        <v>140</v>
      </c>
      <c r="B100" s="191" t="s">
        <v>138</v>
      </c>
      <c r="C100" s="191">
        <v>13118</v>
      </c>
      <c r="D100" s="191">
        <v>13156</v>
      </c>
      <c r="E100" s="191" t="s">
        <v>83</v>
      </c>
      <c r="F100" s="191" t="s">
        <v>747</v>
      </c>
      <c r="G100" s="191" t="s">
        <v>747</v>
      </c>
      <c r="H100" s="191" t="s">
        <v>747</v>
      </c>
      <c r="I100" s="191" t="s">
        <v>747</v>
      </c>
      <c r="J100" s="191" t="s">
        <v>748</v>
      </c>
      <c r="K100" s="192">
        <v>9281000</v>
      </c>
      <c r="L100" s="192">
        <v>9281000</v>
      </c>
      <c r="M100" s="192">
        <v>14730000</v>
      </c>
      <c r="N100" s="192">
        <v>553891</v>
      </c>
      <c r="O100" s="192">
        <v>19194000</v>
      </c>
      <c r="P100" s="193">
        <v>-9913000</v>
      </c>
      <c r="Q100" s="193">
        <v>-9913000</v>
      </c>
      <c r="R100" s="194">
        <v>-1.0680961103329383</v>
      </c>
      <c r="S100" s="194">
        <v>0</v>
      </c>
      <c r="T100" s="194">
        <v>-1.0680961103329383</v>
      </c>
      <c r="U100" s="195" t="s">
        <v>747</v>
      </c>
      <c r="V100" s="195" t="s">
        <v>747</v>
      </c>
      <c r="W100" s="196" t="s">
        <v>747</v>
      </c>
      <c r="X100" s="195" t="s">
        <v>747</v>
      </c>
      <c r="Y100" s="193" t="s">
        <v>747</v>
      </c>
      <c r="Z100" s="194" t="s">
        <v>747</v>
      </c>
      <c r="AA100" s="196" t="s">
        <v>747</v>
      </c>
      <c r="AB100" s="194" t="s">
        <v>747</v>
      </c>
      <c r="AC100" s="194" t="s">
        <v>747</v>
      </c>
    </row>
    <row r="101" spans="1:36" ht="30" customHeight="1" x14ac:dyDescent="0.3">
      <c r="A101" s="255" t="s">
        <v>169</v>
      </c>
      <c r="B101" s="255" t="s">
        <v>167</v>
      </c>
      <c r="C101" s="255">
        <v>13120</v>
      </c>
      <c r="D101" s="255">
        <v>12759</v>
      </c>
      <c r="E101" s="255" t="s">
        <v>83</v>
      </c>
      <c r="F101" s="255" t="s">
        <v>747</v>
      </c>
      <c r="G101" s="255" t="s">
        <v>747</v>
      </c>
      <c r="H101" s="255" t="s">
        <v>747</v>
      </c>
      <c r="I101" s="255" t="s">
        <v>747</v>
      </c>
      <c r="J101" s="255" t="s">
        <v>748</v>
      </c>
      <c r="K101" s="256">
        <v>49806762</v>
      </c>
      <c r="L101" s="256">
        <v>49801528</v>
      </c>
      <c r="M101" s="256">
        <v>41218953</v>
      </c>
      <c r="N101" s="256">
        <v>114322.85</v>
      </c>
      <c r="O101" s="256">
        <v>63365545</v>
      </c>
      <c r="P101" s="257">
        <v>-13564017</v>
      </c>
      <c r="Q101" s="257">
        <v>-13558783</v>
      </c>
      <c r="R101" s="258">
        <v>-0.27225636530670305</v>
      </c>
      <c r="S101" s="258">
        <v>-1.0509717693802487E-4</v>
      </c>
      <c r="T101" s="258">
        <v>-0.27236146248364107</v>
      </c>
      <c r="U101" s="259" t="s">
        <v>747</v>
      </c>
      <c r="V101" s="259" t="s">
        <v>747</v>
      </c>
      <c r="W101" s="260" t="s">
        <v>747</v>
      </c>
      <c r="X101" s="259" t="s">
        <v>747</v>
      </c>
      <c r="Y101" s="257" t="s">
        <v>747</v>
      </c>
      <c r="Z101" s="258" t="s">
        <v>747</v>
      </c>
      <c r="AA101" s="260" t="s">
        <v>747</v>
      </c>
      <c r="AB101" s="258" t="s">
        <v>747</v>
      </c>
      <c r="AC101" s="258" t="s">
        <v>747</v>
      </c>
      <c r="AD101" s="262"/>
      <c r="AE101" s="263"/>
      <c r="AF101" s="263"/>
      <c r="AG101" s="263"/>
      <c r="AH101" s="263"/>
      <c r="AI101" s="263"/>
      <c r="AJ101" s="263"/>
    </row>
    <row r="102" spans="1:36" ht="30" customHeight="1" x14ac:dyDescent="0.3">
      <c r="A102" s="191" t="s">
        <v>127</v>
      </c>
      <c r="B102" s="191" t="s">
        <v>128</v>
      </c>
      <c r="C102" s="191">
        <v>13155</v>
      </c>
      <c r="D102" s="191">
        <v>13155</v>
      </c>
      <c r="E102" s="191" t="s">
        <v>75</v>
      </c>
      <c r="F102" s="191" t="s">
        <v>747</v>
      </c>
      <c r="G102" s="191" t="s">
        <v>747</v>
      </c>
      <c r="H102" s="191" t="s">
        <v>747</v>
      </c>
      <c r="I102" s="191" t="s">
        <v>747</v>
      </c>
      <c r="J102" s="191" t="s">
        <v>748</v>
      </c>
      <c r="K102" s="192">
        <v>1880413378.8699999</v>
      </c>
      <c r="L102" s="192">
        <v>2146241711.3299999</v>
      </c>
      <c r="M102" s="192">
        <v>531748554.99000001</v>
      </c>
      <c r="N102" s="192">
        <v>3806226</v>
      </c>
      <c r="O102" s="192">
        <v>2038057918.2</v>
      </c>
      <c r="P102" s="193">
        <v>108183793.12999988</v>
      </c>
      <c r="Q102" s="193">
        <v>-157644539.33000016</v>
      </c>
      <c r="R102" s="194">
        <v>-7.3451437691195443E-2</v>
      </c>
      <c r="S102" s="194">
        <v>0.12385759304587805</v>
      </c>
      <c r="T102" s="194">
        <v>5.0406155354682625E-2</v>
      </c>
      <c r="U102" s="195" t="s">
        <v>747</v>
      </c>
      <c r="V102" s="195" t="s">
        <v>747</v>
      </c>
      <c r="W102" s="196">
        <v>1.2367882431239186</v>
      </c>
      <c r="X102" s="195" t="s">
        <v>747</v>
      </c>
      <c r="Y102" s="193">
        <v>4837583100.5200005</v>
      </c>
      <c r="Z102" s="194">
        <v>8.2773229343141172E-2</v>
      </c>
      <c r="AA102" s="196">
        <v>11.310998141090577</v>
      </c>
      <c r="AB102" s="194">
        <v>0.68264638539914257</v>
      </c>
      <c r="AC102" s="194">
        <v>0.17408867658780658</v>
      </c>
    </row>
    <row r="103" spans="1:36" ht="30" customHeight="1" x14ac:dyDescent="0.3">
      <c r="A103" s="255" t="s">
        <v>138</v>
      </c>
      <c r="B103" s="255" t="s">
        <v>138</v>
      </c>
      <c r="C103" s="255">
        <v>13156</v>
      </c>
      <c r="D103" s="255">
        <v>13156</v>
      </c>
      <c r="E103" s="255" t="s">
        <v>75</v>
      </c>
      <c r="F103" s="255" t="s">
        <v>747</v>
      </c>
      <c r="G103" s="255" t="s">
        <v>747</v>
      </c>
      <c r="H103" s="255" t="s">
        <v>747</v>
      </c>
      <c r="I103" s="255" t="s">
        <v>747</v>
      </c>
      <c r="J103" s="255" t="s">
        <v>748</v>
      </c>
      <c r="K103" s="256">
        <v>279325375.62</v>
      </c>
      <c r="L103" s="256">
        <v>279855375.62</v>
      </c>
      <c r="M103" s="256">
        <v>143068811.81999999</v>
      </c>
      <c r="N103" s="256">
        <v>0</v>
      </c>
      <c r="O103" s="256">
        <v>323180375.62</v>
      </c>
      <c r="P103" s="257">
        <v>-43325000</v>
      </c>
      <c r="Q103" s="257">
        <v>-43855000</v>
      </c>
      <c r="R103" s="258">
        <v>-0.15670594106989125</v>
      </c>
      <c r="S103" s="258">
        <v>1.8938353384344399E-3</v>
      </c>
      <c r="T103" s="258">
        <v>-0.15481210573145682</v>
      </c>
      <c r="U103" s="259" t="s">
        <v>747</v>
      </c>
      <c r="V103" s="259" t="s">
        <v>747</v>
      </c>
      <c r="W103" s="260">
        <v>0.90901801890025946</v>
      </c>
      <c r="X103" s="259" t="s">
        <v>747</v>
      </c>
      <c r="Y103" s="257">
        <v>68653000</v>
      </c>
      <c r="Z103" s="258">
        <v>-0.12913841593632938</v>
      </c>
      <c r="AA103" s="260">
        <v>-6.2981564991564651</v>
      </c>
      <c r="AB103" s="258">
        <v>0.17580343653171493</v>
      </c>
      <c r="AC103" s="258">
        <v>0.59597842266637824</v>
      </c>
      <c r="AD103" s="262"/>
      <c r="AE103" s="263"/>
      <c r="AF103" s="263"/>
      <c r="AG103" s="263"/>
      <c r="AH103" s="263"/>
      <c r="AI103" s="263"/>
      <c r="AJ103" s="263"/>
    </row>
    <row r="104" spans="1:36" ht="30" customHeight="1" x14ac:dyDescent="0.3">
      <c r="A104" s="191" t="s">
        <v>613</v>
      </c>
      <c r="B104" s="191" t="s">
        <v>546</v>
      </c>
      <c r="C104" s="191">
        <v>13158</v>
      </c>
      <c r="D104" s="191">
        <v>13158</v>
      </c>
      <c r="E104" s="191" t="s">
        <v>75</v>
      </c>
      <c r="F104" s="191" t="s">
        <v>747</v>
      </c>
      <c r="G104" s="191" t="s">
        <v>747</v>
      </c>
      <c r="H104" s="191" t="s">
        <v>747</v>
      </c>
      <c r="I104" s="191" t="s">
        <v>747</v>
      </c>
      <c r="J104" s="191" t="s">
        <v>749</v>
      </c>
      <c r="K104" s="192">
        <v>222989000</v>
      </c>
      <c r="L104" s="192">
        <v>384021000</v>
      </c>
      <c r="M104" s="192">
        <v>0</v>
      </c>
      <c r="N104" s="192">
        <v>0</v>
      </c>
      <c r="O104" s="192">
        <v>313086000</v>
      </c>
      <c r="P104" s="193">
        <v>70935000</v>
      </c>
      <c r="Q104" s="193">
        <v>-90097000</v>
      </c>
      <c r="R104" s="194">
        <v>-0.23461477367123151</v>
      </c>
      <c r="S104" s="194">
        <v>0.41933123448978049</v>
      </c>
      <c r="T104" s="194">
        <v>0.18471646081854898</v>
      </c>
      <c r="U104" s="195" t="s">
        <v>747</v>
      </c>
      <c r="V104" s="195" t="s">
        <v>747</v>
      </c>
      <c r="W104" s="196">
        <v>8.5038029909727904</v>
      </c>
      <c r="X104" s="195" t="s">
        <v>747</v>
      </c>
      <c r="Y104" s="193">
        <v>12321145000</v>
      </c>
      <c r="Z104" s="194">
        <v>4.6287777051285568E-2</v>
      </c>
      <c r="AA104" s="196">
        <v>0</v>
      </c>
      <c r="AB104" s="194">
        <v>0.88938070568254957</v>
      </c>
      <c r="AC104" s="194">
        <v>0</v>
      </c>
    </row>
    <row r="105" spans="1:36" ht="30" customHeight="1" x14ac:dyDescent="0.3">
      <c r="A105" s="255" t="s">
        <v>121</v>
      </c>
      <c r="B105" s="255" t="s">
        <v>121</v>
      </c>
      <c r="C105" s="255">
        <v>13159</v>
      </c>
      <c r="D105" s="255">
        <v>13159</v>
      </c>
      <c r="E105" s="255" t="s">
        <v>75</v>
      </c>
      <c r="F105" s="255" t="s">
        <v>747</v>
      </c>
      <c r="G105" s="255" t="s">
        <v>747</v>
      </c>
      <c r="H105" s="255" t="s">
        <v>747</v>
      </c>
      <c r="I105" s="255" t="s">
        <v>747</v>
      </c>
      <c r="J105" s="255" t="s">
        <v>750</v>
      </c>
      <c r="K105" s="256">
        <v>875352907</v>
      </c>
      <c r="L105" s="256">
        <v>889119935</v>
      </c>
      <c r="M105" s="256">
        <v>520447908</v>
      </c>
      <c r="N105" s="256">
        <v>18390022.530000001</v>
      </c>
      <c r="O105" s="256">
        <v>840753018</v>
      </c>
      <c r="P105" s="257">
        <v>48366917</v>
      </c>
      <c r="Q105" s="257">
        <v>34599889</v>
      </c>
      <c r="R105" s="258">
        <v>3.8914760133007251E-2</v>
      </c>
      <c r="S105" s="258">
        <v>1.5483881822984883E-2</v>
      </c>
      <c r="T105" s="258">
        <v>5.4398641955992137E-2</v>
      </c>
      <c r="U105" s="259" t="s">
        <v>747</v>
      </c>
      <c r="V105" s="259" t="s">
        <v>747</v>
      </c>
      <c r="W105" s="260">
        <v>3.2771621623113139</v>
      </c>
      <c r="X105" s="259" t="s">
        <v>747</v>
      </c>
      <c r="Y105" s="257">
        <v>382138290</v>
      </c>
      <c r="Z105" s="258">
        <v>0.37236699740369417</v>
      </c>
      <c r="AA105" s="260">
        <v>5.8401350777426764</v>
      </c>
      <c r="AB105" s="258">
        <v>0.49187642827210393</v>
      </c>
      <c r="AC105" s="258">
        <v>0.163516440253655</v>
      </c>
      <c r="AD105" s="262"/>
      <c r="AE105" s="263"/>
      <c r="AF105" s="263"/>
      <c r="AG105" s="263"/>
      <c r="AH105" s="263"/>
      <c r="AI105" s="263"/>
      <c r="AJ105" s="263"/>
    </row>
    <row r="106" spans="1:36" ht="30" customHeight="1" x14ac:dyDescent="0.3">
      <c r="A106" s="191" t="s">
        <v>694</v>
      </c>
      <c r="B106" s="191" t="s">
        <v>117</v>
      </c>
      <c r="C106" s="191">
        <v>13198</v>
      </c>
      <c r="D106" s="191">
        <v>14287</v>
      </c>
      <c r="E106" s="191" t="s">
        <v>83</v>
      </c>
      <c r="F106" s="191" t="s">
        <v>747</v>
      </c>
      <c r="G106" s="191" t="s">
        <v>747</v>
      </c>
      <c r="H106" s="191" t="s">
        <v>747</v>
      </c>
      <c r="I106" s="191" t="s">
        <v>747</v>
      </c>
      <c r="J106" s="191" t="s">
        <v>748</v>
      </c>
      <c r="K106" s="192">
        <v>94189805</v>
      </c>
      <c r="L106" s="192">
        <v>94189805</v>
      </c>
      <c r="M106" s="192">
        <v>77349039</v>
      </c>
      <c r="N106" s="192">
        <v>2859338</v>
      </c>
      <c r="O106" s="192">
        <v>94400495</v>
      </c>
      <c r="P106" s="193">
        <v>-210690</v>
      </c>
      <c r="Q106" s="193">
        <v>-210690</v>
      </c>
      <c r="R106" s="194">
        <v>-2.2368662935441899E-3</v>
      </c>
      <c r="S106" s="194">
        <v>0</v>
      </c>
      <c r="T106" s="194">
        <v>-2.2368662935441899E-3</v>
      </c>
      <c r="U106" s="195" t="s">
        <v>747</v>
      </c>
      <c r="V106" s="195" t="s">
        <v>747</v>
      </c>
      <c r="W106" s="196" t="s">
        <v>747</v>
      </c>
      <c r="X106" s="195" t="s">
        <v>747</v>
      </c>
      <c r="Y106" s="193" t="s">
        <v>747</v>
      </c>
      <c r="Z106" s="194" t="s">
        <v>747</v>
      </c>
      <c r="AA106" s="196" t="s">
        <v>747</v>
      </c>
      <c r="AB106" s="194" t="s">
        <v>747</v>
      </c>
      <c r="AC106" s="194" t="s">
        <v>747</v>
      </c>
    </row>
    <row r="107" spans="1:36" ht="30" customHeight="1" x14ac:dyDescent="0.3">
      <c r="A107" s="255" t="s">
        <v>113</v>
      </c>
      <c r="B107" s="255" t="s">
        <v>114</v>
      </c>
      <c r="C107" s="255">
        <v>14286</v>
      </c>
      <c r="D107" s="255">
        <v>14286</v>
      </c>
      <c r="E107" s="255" t="s">
        <v>75</v>
      </c>
      <c r="F107" s="255" t="s">
        <v>747</v>
      </c>
      <c r="G107" s="255" t="s">
        <v>747</v>
      </c>
      <c r="H107" s="255" t="s">
        <v>747</v>
      </c>
      <c r="I107" s="255" t="s">
        <v>747</v>
      </c>
      <c r="J107" s="255" t="s">
        <v>748</v>
      </c>
      <c r="K107" s="256">
        <v>2289224000</v>
      </c>
      <c r="L107" s="256">
        <v>2420479000</v>
      </c>
      <c r="M107" s="256">
        <v>1316940020.806</v>
      </c>
      <c r="N107" s="256">
        <v>28642979.193999998</v>
      </c>
      <c r="O107" s="256">
        <v>2339667000</v>
      </c>
      <c r="P107" s="257">
        <v>80812000</v>
      </c>
      <c r="Q107" s="257">
        <v>-50443000</v>
      </c>
      <c r="R107" s="258">
        <v>-2.0840089916086858E-2</v>
      </c>
      <c r="S107" s="258">
        <v>5.422686997077851E-2</v>
      </c>
      <c r="T107" s="258">
        <v>3.3386780054691652E-2</v>
      </c>
      <c r="U107" s="259" t="s">
        <v>747</v>
      </c>
      <c r="V107" s="259" t="s">
        <v>747</v>
      </c>
      <c r="W107" s="260">
        <v>1.7392628898942275</v>
      </c>
      <c r="X107" s="259" t="s">
        <v>747</v>
      </c>
      <c r="Y107" s="257">
        <v>9621793000</v>
      </c>
      <c r="Z107" s="258">
        <v>0.12270214986149357</v>
      </c>
      <c r="AA107" s="260">
        <v>20.376221958524045</v>
      </c>
      <c r="AB107" s="258">
        <v>0.71187769290436065</v>
      </c>
      <c r="AC107" s="258">
        <v>0.19407892767230114</v>
      </c>
      <c r="AD107" s="262"/>
      <c r="AE107" s="263"/>
      <c r="AF107" s="263"/>
      <c r="AG107" s="263"/>
      <c r="AH107" s="263"/>
      <c r="AI107" s="263"/>
      <c r="AJ107" s="263"/>
    </row>
    <row r="108" spans="1:36" ht="30" customHeight="1" x14ac:dyDescent="0.3">
      <c r="A108" s="191" t="s">
        <v>117</v>
      </c>
      <c r="B108" s="191" t="s">
        <v>117</v>
      </c>
      <c r="C108" s="191">
        <v>14287</v>
      </c>
      <c r="D108" s="191">
        <v>14287</v>
      </c>
      <c r="E108" s="191" t="s">
        <v>75</v>
      </c>
      <c r="F108" s="191" t="s">
        <v>747</v>
      </c>
      <c r="G108" s="191" t="s">
        <v>747</v>
      </c>
      <c r="H108" s="191" t="s">
        <v>747</v>
      </c>
      <c r="I108" s="191" t="s">
        <v>747</v>
      </c>
      <c r="J108" s="191" t="s">
        <v>748</v>
      </c>
      <c r="K108" s="192">
        <v>4567218567</v>
      </c>
      <c r="L108" s="192">
        <v>4603913904</v>
      </c>
      <c r="M108" s="192">
        <v>1190599682</v>
      </c>
      <c r="N108" s="192">
        <v>36335126</v>
      </c>
      <c r="O108" s="192">
        <v>4730891856</v>
      </c>
      <c r="P108" s="193">
        <v>-126977952</v>
      </c>
      <c r="Q108" s="193">
        <v>-163673289</v>
      </c>
      <c r="R108" s="194">
        <v>-3.555090134457041E-2</v>
      </c>
      <c r="S108" s="194">
        <v>7.9704655137269476E-3</v>
      </c>
      <c r="T108" s="194">
        <v>-2.758043583084346E-2</v>
      </c>
      <c r="U108" s="195" t="s">
        <v>747</v>
      </c>
      <c r="V108" s="195" t="s">
        <v>747</v>
      </c>
      <c r="W108" s="196">
        <v>1.1758484312286559</v>
      </c>
      <c r="X108" s="195" t="s">
        <v>747</v>
      </c>
      <c r="Y108" s="193">
        <v>2119060390</v>
      </c>
      <c r="Z108" s="194">
        <v>-1.7995372029170842E-2</v>
      </c>
      <c r="AA108" s="196">
        <v>-1.270303092823057</v>
      </c>
      <c r="AB108" s="194">
        <v>0.41006198784400444</v>
      </c>
      <c r="AC108" s="194">
        <v>0.34479386003203416</v>
      </c>
    </row>
    <row r="109" spans="1:36" ht="30" customHeight="1" x14ac:dyDescent="0.3">
      <c r="A109" s="255" t="s">
        <v>183</v>
      </c>
      <c r="B109" s="255" t="s">
        <v>183</v>
      </c>
      <c r="C109" s="255">
        <v>14288</v>
      </c>
      <c r="D109" s="255">
        <v>14288</v>
      </c>
      <c r="E109" s="255" t="s">
        <v>75</v>
      </c>
      <c r="F109" s="255" t="s">
        <v>747</v>
      </c>
      <c r="G109" s="255" t="s">
        <v>747</v>
      </c>
      <c r="H109" s="255" t="s">
        <v>747</v>
      </c>
      <c r="I109" s="255" t="s">
        <v>747</v>
      </c>
      <c r="J109" s="255" t="s">
        <v>750</v>
      </c>
      <c r="K109" s="256">
        <v>20034051925</v>
      </c>
      <c r="L109" s="256">
        <v>20891341995</v>
      </c>
      <c r="M109" s="256">
        <v>10402829359</v>
      </c>
      <c r="N109" s="256">
        <v>71261580</v>
      </c>
      <c r="O109" s="256">
        <v>19834055350</v>
      </c>
      <c r="P109" s="257">
        <v>1057286645</v>
      </c>
      <c r="Q109" s="257">
        <v>199996575</v>
      </c>
      <c r="R109" s="258">
        <v>9.5731798870491852E-3</v>
      </c>
      <c r="S109" s="258">
        <v>4.1035663013184044E-2</v>
      </c>
      <c r="T109" s="258">
        <v>5.0608842900233229E-2</v>
      </c>
      <c r="U109" s="259" t="s">
        <v>747</v>
      </c>
      <c r="V109" s="259" t="s">
        <v>747</v>
      </c>
      <c r="W109" s="260">
        <v>2.4208587399960964</v>
      </c>
      <c r="X109" s="259" t="s">
        <v>747</v>
      </c>
      <c r="Y109" s="257">
        <v>21566494798</v>
      </c>
      <c r="Z109" s="258">
        <v>0.14857203996401411</v>
      </c>
      <c r="AA109" s="260">
        <v>1.8657791007689144</v>
      </c>
      <c r="AB109" s="258">
        <v>0.59868172598398872</v>
      </c>
      <c r="AC109" s="258">
        <v>0.23340855629692298</v>
      </c>
      <c r="AD109" s="262"/>
      <c r="AE109" s="263"/>
      <c r="AF109" s="263"/>
      <c r="AG109" s="263"/>
      <c r="AH109" s="263"/>
      <c r="AI109" s="263"/>
      <c r="AJ109" s="263"/>
    </row>
    <row r="110" spans="1:36" ht="30" customHeight="1" x14ac:dyDescent="0.3">
      <c r="A110" s="191" t="s">
        <v>120</v>
      </c>
      <c r="B110" s="191" t="s">
        <v>117</v>
      </c>
      <c r="C110" s="191">
        <v>14418</v>
      </c>
      <c r="D110" s="191">
        <v>14287</v>
      </c>
      <c r="E110" s="191" t="s">
        <v>83</v>
      </c>
      <c r="F110" s="191" t="s">
        <v>747</v>
      </c>
      <c r="G110" s="191" t="s">
        <v>747</v>
      </c>
      <c r="H110" s="191" t="s">
        <v>747</v>
      </c>
      <c r="I110" s="191" t="s">
        <v>747</v>
      </c>
      <c r="J110" s="191" t="s">
        <v>748</v>
      </c>
      <c r="K110" s="192">
        <v>284118007</v>
      </c>
      <c r="L110" s="192">
        <v>284929405</v>
      </c>
      <c r="M110" s="192">
        <v>260371535</v>
      </c>
      <c r="N110" s="192">
        <v>1939357</v>
      </c>
      <c r="O110" s="192">
        <v>296081675</v>
      </c>
      <c r="P110" s="193">
        <v>-11152270</v>
      </c>
      <c r="Q110" s="193">
        <v>-11963668</v>
      </c>
      <c r="R110" s="194">
        <v>-4.198818300273361E-2</v>
      </c>
      <c r="S110" s="194">
        <v>2.8477159105428237E-3</v>
      </c>
      <c r="T110" s="194">
        <v>-3.9140467092190781E-2</v>
      </c>
      <c r="U110" s="195" t="s">
        <v>747</v>
      </c>
      <c r="V110" s="195" t="s">
        <v>747</v>
      </c>
      <c r="W110" s="196" t="s">
        <v>747</v>
      </c>
      <c r="X110" s="195" t="s">
        <v>747</v>
      </c>
      <c r="Y110" s="193" t="s">
        <v>747</v>
      </c>
      <c r="Z110" s="194" t="s">
        <v>747</v>
      </c>
      <c r="AA110" s="196" t="s">
        <v>747</v>
      </c>
      <c r="AB110" s="194" t="s">
        <v>747</v>
      </c>
      <c r="AC110" s="194" t="s">
        <v>747</v>
      </c>
    </row>
    <row r="111" spans="1:36" ht="30" customHeight="1" x14ac:dyDescent="0.3">
      <c r="A111" s="255" t="s">
        <v>194</v>
      </c>
      <c r="B111" s="255" t="s">
        <v>190</v>
      </c>
      <c r="C111" s="255">
        <v>14420</v>
      </c>
      <c r="D111" s="255">
        <v>12775</v>
      </c>
      <c r="E111" s="255" t="s">
        <v>83</v>
      </c>
      <c r="F111" s="255" t="s">
        <v>747</v>
      </c>
      <c r="G111" s="255" t="s">
        <v>747</v>
      </c>
      <c r="H111" s="255" t="s">
        <v>747</v>
      </c>
      <c r="I111" s="255" t="s">
        <v>747</v>
      </c>
      <c r="J111" s="255" t="s">
        <v>748</v>
      </c>
      <c r="K111" s="256">
        <v>50048000</v>
      </c>
      <c r="L111" s="256">
        <v>50048000</v>
      </c>
      <c r="M111" s="256">
        <v>41302000</v>
      </c>
      <c r="N111" s="256">
        <v>0</v>
      </c>
      <c r="O111" s="256">
        <v>58922000</v>
      </c>
      <c r="P111" s="257">
        <v>-8874000</v>
      </c>
      <c r="Q111" s="257">
        <v>-8874000</v>
      </c>
      <c r="R111" s="258">
        <v>-0.17730978260869565</v>
      </c>
      <c r="S111" s="258">
        <v>0</v>
      </c>
      <c r="T111" s="258">
        <v>-0.17730978260869565</v>
      </c>
      <c r="U111" s="259" t="s">
        <v>747</v>
      </c>
      <c r="V111" s="259" t="s">
        <v>747</v>
      </c>
      <c r="W111" s="260" t="s">
        <v>747</v>
      </c>
      <c r="X111" s="259" t="s">
        <v>747</v>
      </c>
      <c r="Y111" s="257" t="s">
        <v>747</v>
      </c>
      <c r="Z111" s="258" t="s">
        <v>747</v>
      </c>
      <c r="AA111" s="260" t="s">
        <v>747</v>
      </c>
      <c r="AB111" s="258" t="s">
        <v>747</v>
      </c>
      <c r="AC111" s="258" t="s">
        <v>747</v>
      </c>
      <c r="AD111" s="262"/>
      <c r="AE111" s="263"/>
      <c r="AF111" s="263"/>
      <c r="AG111" s="263"/>
      <c r="AH111" s="263"/>
      <c r="AI111" s="263"/>
      <c r="AJ111" s="263"/>
    </row>
    <row r="112" spans="1:36" ht="30" customHeight="1" x14ac:dyDescent="0.3">
      <c r="A112" s="191" t="s">
        <v>106</v>
      </c>
      <c r="B112" s="191" t="s">
        <v>90</v>
      </c>
      <c r="C112" s="191">
        <v>14421</v>
      </c>
      <c r="D112" s="191">
        <v>16665</v>
      </c>
      <c r="E112" s="191" t="s">
        <v>83</v>
      </c>
      <c r="F112" s="191" t="s">
        <v>747</v>
      </c>
      <c r="G112" s="191" t="s">
        <v>747</v>
      </c>
      <c r="H112" s="191" t="s">
        <v>747</v>
      </c>
      <c r="I112" s="191" t="s">
        <v>747</v>
      </c>
      <c r="J112" s="191" t="s">
        <v>748</v>
      </c>
      <c r="K112" s="192">
        <v>177966000</v>
      </c>
      <c r="L112" s="192">
        <v>177928000</v>
      </c>
      <c r="M112" s="192">
        <v>230653179</v>
      </c>
      <c r="N112" s="192">
        <v>1227821</v>
      </c>
      <c r="O112" s="192">
        <v>242431000</v>
      </c>
      <c r="P112" s="193">
        <v>-64503000</v>
      </c>
      <c r="Q112" s="193">
        <v>-64465000</v>
      </c>
      <c r="R112" s="194">
        <v>-0.36230947349489684</v>
      </c>
      <c r="S112" s="194">
        <v>-2.1356953374398633E-4</v>
      </c>
      <c r="T112" s="194">
        <v>-0.3625230430286408</v>
      </c>
      <c r="U112" s="195" t="s">
        <v>747</v>
      </c>
      <c r="V112" s="195" t="s">
        <v>747</v>
      </c>
      <c r="W112" s="196" t="s">
        <v>747</v>
      </c>
      <c r="X112" s="195" t="s">
        <v>747</v>
      </c>
      <c r="Y112" s="193" t="s">
        <v>747</v>
      </c>
      <c r="Z112" s="194" t="s">
        <v>747</v>
      </c>
      <c r="AA112" s="196" t="s">
        <v>747</v>
      </c>
      <c r="AB112" s="194" t="s">
        <v>747</v>
      </c>
      <c r="AC112" s="194" t="s">
        <v>747</v>
      </c>
    </row>
    <row r="113" spans="1:36" ht="30" customHeight="1" x14ac:dyDescent="0.3">
      <c r="A113" s="255" t="s">
        <v>107</v>
      </c>
      <c r="B113" s="255" t="s">
        <v>90</v>
      </c>
      <c r="C113" s="255">
        <v>14422</v>
      </c>
      <c r="D113" s="255">
        <v>16665</v>
      </c>
      <c r="E113" s="255" t="s">
        <v>83</v>
      </c>
      <c r="F113" s="255" t="s">
        <v>747</v>
      </c>
      <c r="G113" s="255" t="s">
        <v>747</v>
      </c>
      <c r="H113" s="255" t="s">
        <v>747</v>
      </c>
      <c r="I113" s="255" t="s">
        <v>747</v>
      </c>
      <c r="J113" s="255" t="s">
        <v>748</v>
      </c>
      <c r="K113" s="256">
        <v>65518000</v>
      </c>
      <c r="L113" s="256">
        <v>65518000</v>
      </c>
      <c r="M113" s="256">
        <v>69391000</v>
      </c>
      <c r="N113" s="256">
        <v>0</v>
      </c>
      <c r="O113" s="256">
        <v>92016000</v>
      </c>
      <c r="P113" s="257">
        <v>-26498000</v>
      </c>
      <c r="Q113" s="257">
        <v>-26498000</v>
      </c>
      <c r="R113" s="258">
        <v>-0.40443847492292195</v>
      </c>
      <c r="S113" s="258">
        <v>0</v>
      </c>
      <c r="T113" s="258">
        <v>-0.40443847492292195</v>
      </c>
      <c r="U113" s="259" t="s">
        <v>747</v>
      </c>
      <c r="V113" s="259" t="s">
        <v>747</v>
      </c>
      <c r="W113" s="260" t="s">
        <v>747</v>
      </c>
      <c r="X113" s="259" t="s">
        <v>747</v>
      </c>
      <c r="Y113" s="257" t="s">
        <v>747</v>
      </c>
      <c r="Z113" s="258" t="s">
        <v>747</v>
      </c>
      <c r="AA113" s="260" t="s">
        <v>747</v>
      </c>
      <c r="AB113" s="258" t="s">
        <v>747</v>
      </c>
      <c r="AC113" s="258" t="s">
        <v>747</v>
      </c>
      <c r="AD113" s="262"/>
      <c r="AE113" s="263"/>
      <c r="AF113" s="263"/>
      <c r="AG113" s="263"/>
      <c r="AH113" s="263"/>
      <c r="AI113" s="263"/>
      <c r="AJ113" s="263"/>
    </row>
    <row r="114" spans="1:36" ht="30" customHeight="1" x14ac:dyDescent="0.3">
      <c r="A114" s="191" t="s">
        <v>153</v>
      </c>
      <c r="B114" s="191" t="s">
        <v>141</v>
      </c>
      <c r="C114" s="191">
        <v>14423</v>
      </c>
      <c r="D114" s="191">
        <v>3791</v>
      </c>
      <c r="E114" s="191" t="s">
        <v>83</v>
      </c>
      <c r="F114" s="191" t="s">
        <v>747</v>
      </c>
      <c r="G114" s="191" t="s">
        <v>747</v>
      </c>
      <c r="H114" s="191" t="s">
        <v>747</v>
      </c>
      <c r="I114" s="191" t="s">
        <v>747</v>
      </c>
      <c r="J114" s="191" t="s">
        <v>748</v>
      </c>
      <c r="K114" s="192">
        <v>107953000</v>
      </c>
      <c r="L114" s="192">
        <v>108378000</v>
      </c>
      <c r="M114" s="192">
        <v>89811661</v>
      </c>
      <c r="N114" s="192">
        <v>3772339</v>
      </c>
      <c r="O114" s="192">
        <v>110422000</v>
      </c>
      <c r="P114" s="193">
        <v>-2044000</v>
      </c>
      <c r="Q114" s="193">
        <v>-2469000</v>
      </c>
      <c r="R114" s="194">
        <v>-2.2781376294081824E-2</v>
      </c>
      <c r="S114" s="194">
        <v>3.9214600749229549E-3</v>
      </c>
      <c r="T114" s="194">
        <v>-1.8859916219158869E-2</v>
      </c>
      <c r="U114" s="195" t="s">
        <v>747</v>
      </c>
      <c r="V114" s="195" t="s">
        <v>747</v>
      </c>
      <c r="W114" s="196" t="s">
        <v>747</v>
      </c>
      <c r="X114" s="195" t="s">
        <v>747</v>
      </c>
      <c r="Y114" s="193" t="s">
        <v>747</v>
      </c>
      <c r="Z114" s="194" t="s">
        <v>747</v>
      </c>
      <c r="AA114" s="196" t="s">
        <v>747</v>
      </c>
      <c r="AB114" s="194" t="s">
        <v>747</v>
      </c>
      <c r="AC114" s="194" t="s">
        <v>747</v>
      </c>
    </row>
    <row r="115" spans="1:36" ht="30" customHeight="1" x14ac:dyDescent="0.3">
      <c r="A115" s="255" t="s">
        <v>186</v>
      </c>
      <c r="B115" s="255" t="s">
        <v>183</v>
      </c>
      <c r="C115" s="255">
        <v>14424</v>
      </c>
      <c r="D115" s="255">
        <v>14288</v>
      </c>
      <c r="E115" s="255" t="s">
        <v>83</v>
      </c>
      <c r="F115" s="255" t="s">
        <v>747</v>
      </c>
      <c r="G115" s="255" t="s">
        <v>747</v>
      </c>
      <c r="H115" s="255" t="s">
        <v>747</v>
      </c>
      <c r="I115" s="255" t="s">
        <v>747</v>
      </c>
      <c r="J115" s="255" t="s">
        <v>750</v>
      </c>
      <c r="K115" s="256">
        <v>3720214</v>
      </c>
      <c r="L115" s="256">
        <v>3720214</v>
      </c>
      <c r="M115" s="256">
        <v>2224190</v>
      </c>
      <c r="N115" s="256">
        <v>356879</v>
      </c>
      <c r="O115" s="256">
        <v>8819084</v>
      </c>
      <c r="P115" s="257">
        <v>-5098870</v>
      </c>
      <c r="Q115" s="257">
        <v>-5098870</v>
      </c>
      <c r="R115" s="258">
        <v>-1.3705851330057894</v>
      </c>
      <c r="S115" s="258">
        <v>0</v>
      </c>
      <c r="T115" s="258">
        <v>-1.3705851330057894</v>
      </c>
      <c r="U115" s="259" t="s">
        <v>747</v>
      </c>
      <c r="V115" s="259" t="s">
        <v>747</v>
      </c>
      <c r="W115" s="260" t="s">
        <v>747</v>
      </c>
      <c r="X115" s="259" t="s">
        <v>747</v>
      </c>
      <c r="Y115" s="257" t="s">
        <v>747</v>
      </c>
      <c r="Z115" s="258" t="s">
        <v>747</v>
      </c>
      <c r="AA115" s="260" t="s">
        <v>747</v>
      </c>
      <c r="AB115" s="258" t="s">
        <v>747</v>
      </c>
      <c r="AC115" s="258" t="s">
        <v>747</v>
      </c>
      <c r="AD115" s="262"/>
      <c r="AE115" s="263"/>
      <c r="AF115" s="263"/>
      <c r="AG115" s="263"/>
      <c r="AH115" s="263"/>
      <c r="AI115" s="263"/>
      <c r="AJ115" s="263"/>
    </row>
    <row r="116" spans="1:36" ht="30" customHeight="1" x14ac:dyDescent="0.3">
      <c r="A116" s="191" t="s">
        <v>116</v>
      </c>
      <c r="B116" s="191" t="s">
        <v>114</v>
      </c>
      <c r="C116" s="191">
        <v>14426</v>
      </c>
      <c r="D116" s="191">
        <v>14286</v>
      </c>
      <c r="E116" s="191" t="s">
        <v>83</v>
      </c>
      <c r="F116" s="191" t="s">
        <v>747</v>
      </c>
      <c r="G116" s="191" t="s">
        <v>747</v>
      </c>
      <c r="H116" s="191" t="s">
        <v>747</v>
      </c>
      <c r="I116" s="191" t="s">
        <v>747</v>
      </c>
      <c r="J116" s="191" t="s">
        <v>748</v>
      </c>
      <c r="K116" s="192">
        <v>597033430</v>
      </c>
      <c r="L116" s="192">
        <v>608432075</v>
      </c>
      <c r="M116" s="192">
        <v>486263893.18000001</v>
      </c>
      <c r="N116" s="192">
        <v>1639412.8199999998</v>
      </c>
      <c r="O116" s="192">
        <v>587690648</v>
      </c>
      <c r="P116" s="193">
        <v>20741427</v>
      </c>
      <c r="Q116" s="193">
        <v>9342782</v>
      </c>
      <c r="R116" s="194">
        <v>1.535550537831195E-2</v>
      </c>
      <c r="S116" s="194">
        <v>1.8734457745344869E-2</v>
      </c>
      <c r="T116" s="194">
        <v>3.4089963123656822E-2</v>
      </c>
      <c r="U116" s="195" t="s">
        <v>747</v>
      </c>
      <c r="V116" s="195" t="s">
        <v>747</v>
      </c>
      <c r="W116" s="196" t="s">
        <v>747</v>
      </c>
      <c r="X116" s="195" t="s">
        <v>747</v>
      </c>
      <c r="Y116" s="193" t="s">
        <v>747</v>
      </c>
      <c r="Z116" s="194" t="s">
        <v>747</v>
      </c>
      <c r="AA116" s="196" t="s">
        <v>747</v>
      </c>
      <c r="AB116" s="194" t="s">
        <v>747</v>
      </c>
      <c r="AC116" s="194" t="s">
        <v>747</v>
      </c>
    </row>
    <row r="117" spans="1:36" ht="30" customHeight="1" x14ac:dyDescent="0.3">
      <c r="A117" s="255" t="s">
        <v>617</v>
      </c>
      <c r="B117" s="255" t="s">
        <v>510</v>
      </c>
      <c r="C117" s="255">
        <v>14427</v>
      </c>
      <c r="D117" s="255">
        <v>3888</v>
      </c>
      <c r="E117" s="255" t="s">
        <v>83</v>
      </c>
      <c r="F117" s="255" t="s">
        <v>747</v>
      </c>
      <c r="G117" s="255" t="s">
        <v>747</v>
      </c>
      <c r="H117" s="255" t="s">
        <v>747</v>
      </c>
      <c r="I117" s="255" t="s">
        <v>747</v>
      </c>
      <c r="J117" s="255" t="s">
        <v>749</v>
      </c>
      <c r="K117" s="256">
        <v>5784495</v>
      </c>
      <c r="L117" s="256">
        <v>5784495</v>
      </c>
      <c r="M117" s="256">
        <v>6414241</v>
      </c>
      <c r="N117" s="256">
        <v>-2731</v>
      </c>
      <c r="O117" s="256">
        <v>8817180</v>
      </c>
      <c r="P117" s="257">
        <v>-3032685</v>
      </c>
      <c r="Q117" s="257">
        <v>-3032685</v>
      </c>
      <c r="R117" s="258">
        <v>-0.52427826456760707</v>
      </c>
      <c r="S117" s="258">
        <v>0</v>
      </c>
      <c r="T117" s="258">
        <v>-0.52427826456760707</v>
      </c>
      <c r="U117" s="259" t="s">
        <v>747</v>
      </c>
      <c r="V117" s="259" t="s">
        <v>747</v>
      </c>
      <c r="W117" s="260" t="s">
        <v>747</v>
      </c>
      <c r="X117" s="259" t="s">
        <v>747</v>
      </c>
      <c r="Y117" s="257" t="s">
        <v>747</v>
      </c>
      <c r="Z117" s="258" t="s">
        <v>747</v>
      </c>
      <c r="AA117" s="260" t="s">
        <v>747</v>
      </c>
      <c r="AB117" s="258" t="s">
        <v>747</v>
      </c>
      <c r="AC117" s="258" t="s">
        <v>747</v>
      </c>
      <c r="AD117" s="262"/>
      <c r="AE117" s="263"/>
      <c r="AF117" s="263"/>
      <c r="AG117" s="263"/>
      <c r="AH117" s="263"/>
      <c r="AI117" s="263"/>
      <c r="AJ117" s="263"/>
    </row>
    <row r="118" spans="1:36" ht="30" customHeight="1" x14ac:dyDescent="0.3">
      <c r="A118" s="191" t="s">
        <v>206</v>
      </c>
      <c r="B118" s="191" t="s">
        <v>204</v>
      </c>
      <c r="C118" s="191">
        <v>14428</v>
      </c>
      <c r="D118" s="191">
        <v>12767</v>
      </c>
      <c r="E118" s="191" t="s">
        <v>83</v>
      </c>
      <c r="F118" s="191" t="s">
        <v>747</v>
      </c>
      <c r="G118" s="191" t="s">
        <v>747</v>
      </c>
      <c r="H118" s="191" t="s">
        <v>747</v>
      </c>
      <c r="I118" s="191" t="s">
        <v>747</v>
      </c>
      <c r="J118" s="191" t="s">
        <v>748</v>
      </c>
      <c r="K118" s="192">
        <v>8791546</v>
      </c>
      <c r="L118" s="192">
        <v>8791546</v>
      </c>
      <c r="M118" s="192">
        <v>8664537</v>
      </c>
      <c r="N118" s="192">
        <v>0</v>
      </c>
      <c r="O118" s="192">
        <v>9904517</v>
      </c>
      <c r="P118" s="193">
        <v>-1112971</v>
      </c>
      <c r="Q118" s="193">
        <v>-1112971</v>
      </c>
      <c r="R118" s="194">
        <v>-0.126595595359451</v>
      </c>
      <c r="S118" s="194">
        <v>0</v>
      </c>
      <c r="T118" s="194">
        <v>-0.126595595359451</v>
      </c>
      <c r="U118" s="195" t="s">
        <v>747</v>
      </c>
      <c r="V118" s="195" t="s">
        <v>747</v>
      </c>
      <c r="W118" s="196" t="s">
        <v>747</v>
      </c>
      <c r="X118" s="195" t="s">
        <v>747</v>
      </c>
      <c r="Y118" s="193" t="s">
        <v>747</v>
      </c>
      <c r="Z118" s="194" t="s">
        <v>747</v>
      </c>
      <c r="AA118" s="196" t="s">
        <v>747</v>
      </c>
      <c r="AB118" s="194" t="s">
        <v>747</v>
      </c>
      <c r="AC118" s="194" t="s">
        <v>747</v>
      </c>
    </row>
    <row r="119" spans="1:36" ht="30" customHeight="1" x14ac:dyDescent="0.3">
      <c r="A119" s="255" t="s">
        <v>81</v>
      </c>
      <c r="B119" s="255" t="s">
        <v>74</v>
      </c>
      <c r="C119" s="255">
        <v>14495</v>
      </c>
      <c r="D119" s="255">
        <v>4066</v>
      </c>
      <c r="E119" s="255" t="s">
        <v>77</v>
      </c>
      <c r="F119" s="255" t="s">
        <v>24</v>
      </c>
      <c r="G119" s="255" t="s">
        <v>78</v>
      </c>
      <c r="H119" s="255" t="s">
        <v>747</v>
      </c>
      <c r="I119" s="255" t="s">
        <v>35</v>
      </c>
      <c r="J119" s="255" t="s">
        <v>748</v>
      </c>
      <c r="K119" s="256">
        <v>57476000</v>
      </c>
      <c r="L119" s="256">
        <v>57546000</v>
      </c>
      <c r="M119" s="256">
        <v>23348000</v>
      </c>
      <c r="N119" s="256" t="s">
        <v>747</v>
      </c>
      <c r="O119" s="256">
        <v>53158000</v>
      </c>
      <c r="P119" s="257">
        <v>4388000</v>
      </c>
      <c r="Q119" s="257">
        <v>4318000</v>
      </c>
      <c r="R119" s="258">
        <v>7.5035623674973059E-2</v>
      </c>
      <c r="S119" s="258">
        <v>1.2164181698119765E-3</v>
      </c>
      <c r="T119" s="258">
        <v>7.625204184478504E-2</v>
      </c>
      <c r="U119" s="259" t="s">
        <v>747</v>
      </c>
      <c r="V119" s="259" t="s">
        <v>747</v>
      </c>
      <c r="W119" s="260">
        <v>0.80008086876155271</v>
      </c>
      <c r="X119" s="259" t="s">
        <v>747</v>
      </c>
      <c r="Y119" s="257">
        <v>27678000</v>
      </c>
      <c r="Z119" s="258">
        <v>0.12537964187892453</v>
      </c>
      <c r="AA119" s="260">
        <v>4.3505712567648827</v>
      </c>
      <c r="AB119" s="258">
        <v>0.33694897921916656</v>
      </c>
      <c r="AC119" s="258">
        <v>0.44336064810503772</v>
      </c>
      <c r="AD119" s="262"/>
      <c r="AE119" s="263"/>
      <c r="AF119" s="263"/>
      <c r="AG119" s="263"/>
      <c r="AH119" s="263"/>
      <c r="AI119" s="263"/>
      <c r="AJ119" s="263"/>
    </row>
    <row r="120" spans="1:36" ht="30" customHeight="1" x14ac:dyDescent="0.3">
      <c r="A120" s="191" t="s">
        <v>199</v>
      </c>
      <c r="B120" s="191" t="s">
        <v>160</v>
      </c>
      <c r="C120" s="191">
        <v>14496</v>
      </c>
      <c r="D120" s="191">
        <v>6755</v>
      </c>
      <c r="E120" s="191" t="s">
        <v>77</v>
      </c>
      <c r="F120" s="191" t="s">
        <v>24</v>
      </c>
      <c r="G120" s="191" t="s">
        <v>78</v>
      </c>
      <c r="H120" s="191" t="s">
        <v>747</v>
      </c>
      <c r="I120" s="191" t="s">
        <v>25</v>
      </c>
      <c r="J120" s="191" t="s">
        <v>748</v>
      </c>
      <c r="K120" s="192">
        <v>165473000</v>
      </c>
      <c r="L120" s="192">
        <v>167385000</v>
      </c>
      <c r="M120" s="192">
        <v>55087000</v>
      </c>
      <c r="N120" s="192">
        <v>5755763.7800000003</v>
      </c>
      <c r="O120" s="192">
        <v>154993000</v>
      </c>
      <c r="P120" s="193">
        <v>12392000</v>
      </c>
      <c r="Q120" s="193">
        <v>10480000</v>
      </c>
      <c r="R120" s="194">
        <v>6.2610150252412108E-2</v>
      </c>
      <c r="S120" s="194">
        <v>1.1422767870478238E-2</v>
      </c>
      <c r="T120" s="194">
        <v>7.403291812289034E-2</v>
      </c>
      <c r="U120" s="195" t="s">
        <v>747</v>
      </c>
      <c r="V120" s="195" t="s">
        <v>747</v>
      </c>
      <c r="W120" s="196">
        <v>1.0520693317585463</v>
      </c>
      <c r="X120" s="195" t="s">
        <v>747</v>
      </c>
      <c r="Y120" s="193">
        <v>184692000</v>
      </c>
      <c r="Z120" s="194">
        <v>8.1318942836114919E-2</v>
      </c>
      <c r="AA120" s="196">
        <v>11.017372421281216</v>
      </c>
      <c r="AB120" s="194">
        <v>0.39432000871085721</v>
      </c>
      <c r="AC120" s="194">
        <v>0</v>
      </c>
    </row>
    <row r="121" spans="1:36" ht="30" customHeight="1" x14ac:dyDescent="0.3">
      <c r="A121" s="255" t="s">
        <v>188</v>
      </c>
      <c r="B121" s="255" t="s">
        <v>183</v>
      </c>
      <c r="C121" s="255">
        <v>16532</v>
      </c>
      <c r="D121" s="255">
        <v>14288</v>
      </c>
      <c r="E121" s="255" t="s">
        <v>83</v>
      </c>
      <c r="F121" s="255" t="s">
        <v>747</v>
      </c>
      <c r="G121" s="255" t="s">
        <v>747</v>
      </c>
      <c r="H121" s="255" t="s">
        <v>747</v>
      </c>
      <c r="I121" s="255" t="s">
        <v>747</v>
      </c>
      <c r="J121" s="255" t="s">
        <v>750</v>
      </c>
      <c r="K121" s="256">
        <v>5948714</v>
      </c>
      <c r="L121" s="256">
        <v>5948714</v>
      </c>
      <c r="M121" s="256">
        <v>0</v>
      </c>
      <c r="N121" s="256">
        <v>0</v>
      </c>
      <c r="O121" s="256">
        <v>12191565</v>
      </c>
      <c r="P121" s="257">
        <v>-6242851</v>
      </c>
      <c r="Q121" s="257">
        <v>-6242851</v>
      </c>
      <c r="R121" s="258">
        <v>-1.0494454767870838</v>
      </c>
      <c r="S121" s="258">
        <v>0</v>
      </c>
      <c r="T121" s="258">
        <v>-1.0494454767870838</v>
      </c>
      <c r="U121" s="259" t="s">
        <v>747</v>
      </c>
      <c r="V121" s="259" t="s">
        <v>747</v>
      </c>
      <c r="W121" s="260" t="s">
        <v>747</v>
      </c>
      <c r="X121" s="259" t="s">
        <v>747</v>
      </c>
      <c r="Y121" s="257" t="s">
        <v>747</v>
      </c>
      <c r="Z121" s="258" t="s">
        <v>747</v>
      </c>
      <c r="AA121" s="260" t="s">
        <v>747</v>
      </c>
      <c r="AB121" s="258" t="s">
        <v>747</v>
      </c>
      <c r="AC121" s="258" t="s">
        <v>747</v>
      </c>
      <c r="AD121" s="262"/>
      <c r="AE121" s="263"/>
      <c r="AF121" s="263"/>
      <c r="AG121" s="263"/>
      <c r="AH121" s="263"/>
      <c r="AI121" s="263"/>
      <c r="AJ121" s="263"/>
    </row>
    <row r="122" spans="1:36" ht="30" customHeight="1" x14ac:dyDescent="0.3">
      <c r="A122" s="191" t="s">
        <v>189</v>
      </c>
      <c r="B122" s="191" t="s">
        <v>183</v>
      </c>
      <c r="C122" s="191">
        <v>16533</v>
      </c>
      <c r="D122" s="191">
        <v>14288</v>
      </c>
      <c r="E122" s="191" t="s">
        <v>83</v>
      </c>
      <c r="F122" s="191" t="s">
        <v>747</v>
      </c>
      <c r="G122" s="191" t="s">
        <v>747</v>
      </c>
      <c r="H122" s="191" t="s">
        <v>747</v>
      </c>
      <c r="I122" s="191" t="s">
        <v>747</v>
      </c>
      <c r="J122" s="191" t="s">
        <v>750</v>
      </c>
      <c r="K122" s="192">
        <v>52047977</v>
      </c>
      <c r="L122" s="192">
        <v>52047977</v>
      </c>
      <c r="M122" s="192">
        <v>58955404</v>
      </c>
      <c r="N122" s="192">
        <v>0</v>
      </c>
      <c r="O122" s="192">
        <v>75656830</v>
      </c>
      <c r="P122" s="193">
        <v>-23608853</v>
      </c>
      <c r="Q122" s="193">
        <v>-23608853</v>
      </c>
      <c r="R122" s="194">
        <v>-0.45359789872332595</v>
      </c>
      <c r="S122" s="194">
        <v>0</v>
      </c>
      <c r="T122" s="194">
        <v>-0.45359789872332595</v>
      </c>
      <c r="U122" s="195" t="s">
        <v>747</v>
      </c>
      <c r="V122" s="195" t="s">
        <v>747</v>
      </c>
      <c r="W122" s="196" t="s">
        <v>747</v>
      </c>
      <c r="X122" s="195" t="s">
        <v>747</v>
      </c>
      <c r="Y122" s="193" t="s">
        <v>747</v>
      </c>
      <c r="Z122" s="194" t="s">
        <v>747</v>
      </c>
      <c r="AA122" s="196" t="s">
        <v>747</v>
      </c>
      <c r="AB122" s="194" t="s">
        <v>747</v>
      </c>
      <c r="AC122" s="194" t="s">
        <v>747</v>
      </c>
    </row>
    <row r="123" spans="1:36" ht="30" customHeight="1" x14ac:dyDescent="0.3">
      <c r="A123" s="255" t="s">
        <v>155</v>
      </c>
      <c r="B123" s="255" t="s">
        <v>141</v>
      </c>
      <c r="C123" s="255">
        <v>16579</v>
      </c>
      <c r="D123" s="255">
        <v>3791</v>
      </c>
      <c r="E123" s="255" t="s">
        <v>83</v>
      </c>
      <c r="F123" s="255" t="s">
        <v>747</v>
      </c>
      <c r="G123" s="255" t="s">
        <v>747</v>
      </c>
      <c r="H123" s="255" t="s">
        <v>747</v>
      </c>
      <c r="I123" s="255" t="s">
        <v>747</v>
      </c>
      <c r="J123" s="255" t="s">
        <v>748</v>
      </c>
      <c r="K123" s="256">
        <v>977000</v>
      </c>
      <c r="L123" s="256">
        <v>977000</v>
      </c>
      <c r="M123" s="256">
        <v>18000</v>
      </c>
      <c r="N123" s="256">
        <v>0</v>
      </c>
      <c r="O123" s="256">
        <v>601000</v>
      </c>
      <c r="P123" s="257">
        <v>376000</v>
      </c>
      <c r="Q123" s="257">
        <v>376000</v>
      </c>
      <c r="R123" s="258">
        <v>0.38485158648925283</v>
      </c>
      <c r="S123" s="258">
        <v>0</v>
      </c>
      <c r="T123" s="258">
        <v>0.38485158648925283</v>
      </c>
      <c r="U123" s="259" t="s">
        <v>747</v>
      </c>
      <c r="V123" s="259" t="s">
        <v>747</v>
      </c>
      <c r="W123" s="260" t="s">
        <v>747</v>
      </c>
      <c r="X123" s="259" t="s">
        <v>747</v>
      </c>
      <c r="Y123" s="257" t="s">
        <v>747</v>
      </c>
      <c r="Z123" s="258" t="s">
        <v>747</v>
      </c>
      <c r="AA123" s="260" t="s">
        <v>747</v>
      </c>
      <c r="AB123" s="258" t="s">
        <v>747</v>
      </c>
      <c r="AC123" s="258" t="s">
        <v>747</v>
      </c>
      <c r="AD123" s="262"/>
      <c r="AE123" s="263"/>
      <c r="AF123" s="263"/>
      <c r="AG123" s="263"/>
      <c r="AH123" s="263"/>
      <c r="AI123" s="263"/>
      <c r="AJ123" s="263"/>
    </row>
    <row r="124" spans="1:36" ht="30" customHeight="1" x14ac:dyDescent="0.3">
      <c r="A124" s="191" t="s">
        <v>90</v>
      </c>
      <c r="B124" s="191" t="s">
        <v>90</v>
      </c>
      <c r="C124" s="191">
        <v>16665</v>
      </c>
      <c r="D124" s="191">
        <v>16665</v>
      </c>
      <c r="E124" s="191" t="s">
        <v>75</v>
      </c>
      <c r="F124" s="191" t="s">
        <v>747</v>
      </c>
      <c r="G124" s="191" t="s">
        <v>747</v>
      </c>
      <c r="H124" s="191" t="s">
        <v>747</v>
      </c>
      <c r="I124" s="191" t="s">
        <v>747</v>
      </c>
      <c r="J124" s="191" t="s">
        <v>748</v>
      </c>
      <c r="K124" s="192">
        <v>5138476000</v>
      </c>
      <c r="L124" s="192">
        <v>5244076000</v>
      </c>
      <c r="M124" s="192">
        <v>2791525467.0599999</v>
      </c>
      <c r="N124" s="192">
        <v>53032532.939999998</v>
      </c>
      <c r="O124" s="192">
        <v>5067791000</v>
      </c>
      <c r="P124" s="193">
        <v>176285000</v>
      </c>
      <c r="Q124" s="193">
        <v>70685000</v>
      </c>
      <c r="R124" s="194">
        <v>1.3479018992096987E-2</v>
      </c>
      <c r="S124" s="194">
        <v>2.0137007930472402E-2</v>
      </c>
      <c r="T124" s="194">
        <v>3.3616026922569389E-2</v>
      </c>
      <c r="U124" s="195" t="s">
        <v>747</v>
      </c>
      <c r="V124" s="195" t="s">
        <v>747</v>
      </c>
      <c r="W124" s="196">
        <v>2.9505868652898375</v>
      </c>
      <c r="X124" s="195" t="s">
        <v>747</v>
      </c>
      <c r="Y124" s="193">
        <v>5044119000</v>
      </c>
      <c r="Z124" s="194">
        <v>6.3130455690069087E-2</v>
      </c>
      <c r="AA124" s="196">
        <v>3.8533394001254351</v>
      </c>
      <c r="AB124" s="194">
        <v>0.47293114382505635</v>
      </c>
      <c r="AC124" s="194">
        <v>0.41788361549394598</v>
      </c>
    </row>
    <row r="125" spans="1:36" ht="30" customHeight="1" x14ac:dyDescent="0.3">
      <c r="A125" s="255" t="s">
        <v>207</v>
      </c>
      <c r="B125" s="255" t="s">
        <v>85</v>
      </c>
      <c r="C125" s="255">
        <v>21965</v>
      </c>
      <c r="D125" s="255">
        <v>3106</v>
      </c>
      <c r="E125" s="255" t="s">
        <v>77</v>
      </c>
      <c r="F125" s="255" t="s">
        <v>24</v>
      </c>
      <c r="G125" s="255" t="s">
        <v>747</v>
      </c>
      <c r="H125" s="255" t="s">
        <v>747</v>
      </c>
      <c r="I125" s="255" t="s">
        <v>35</v>
      </c>
      <c r="J125" s="255" t="s">
        <v>748</v>
      </c>
      <c r="K125" s="256">
        <v>27029442</v>
      </c>
      <c r="L125" s="256">
        <v>27029442</v>
      </c>
      <c r="M125" s="256">
        <v>11431654</v>
      </c>
      <c r="N125" s="256">
        <v>2467727</v>
      </c>
      <c r="O125" s="256">
        <v>25754267</v>
      </c>
      <c r="P125" s="257">
        <v>1275175</v>
      </c>
      <c r="Q125" s="257">
        <v>1275175</v>
      </c>
      <c r="R125" s="258">
        <v>4.7177259523152569E-2</v>
      </c>
      <c r="S125" s="258">
        <v>0</v>
      </c>
      <c r="T125" s="258">
        <v>4.7177259523152569E-2</v>
      </c>
      <c r="U125" s="259" t="s">
        <v>747</v>
      </c>
      <c r="V125" s="259" t="s">
        <v>747</v>
      </c>
      <c r="W125" s="260">
        <v>0.14286513149855193</v>
      </c>
      <c r="X125" s="259" t="s">
        <v>747</v>
      </c>
      <c r="Y125" s="257">
        <v>-2801547</v>
      </c>
      <c r="Z125" s="258">
        <v>0.1135206344407577</v>
      </c>
      <c r="AA125" s="260">
        <v>0</v>
      </c>
      <c r="AB125" s="258">
        <v>-0.12097228215919573</v>
      </c>
      <c r="AC125" s="258">
        <v>0</v>
      </c>
      <c r="AD125" s="262"/>
      <c r="AE125" s="263"/>
      <c r="AF125" s="263"/>
      <c r="AG125" s="263"/>
      <c r="AH125" s="263"/>
      <c r="AI125" s="263"/>
      <c r="AJ125" s="263"/>
    </row>
    <row r="126" spans="1:36" ht="30" customHeight="1" x14ac:dyDescent="0.3">
      <c r="A126" s="191" t="s">
        <v>174</v>
      </c>
      <c r="B126" s="191" t="s">
        <v>174</v>
      </c>
      <c r="C126" s="191">
        <v>22350</v>
      </c>
      <c r="D126" s="191">
        <v>22350</v>
      </c>
      <c r="E126" s="191" t="s">
        <v>75</v>
      </c>
      <c r="F126" s="191" t="s">
        <v>747</v>
      </c>
      <c r="G126" s="191" t="s">
        <v>747</v>
      </c>
      <c r="H126" s="191" t="s">
        <v>747</v>
      </c>
      <c r="I126" s="191" t="s">
        <v>747</v>
      </c>
      <c r="J126" s="191" t="s">
        <v>748</v>
      </c>
      <c r="K126" s="192">
        <v>2374702000</v>
      </c>
      <c r="L126" s="192">
        <v>2465462000</v>
      </c>
      <c r="M126" s="192">
        <v>1276841000</v>
      </c>
      <c r="N126" s="192">
        <v>51374000</v>
      </c>
      <c r="O126" s="192">
        <v>2411173000</v>
      </c>
      <c r="P126" s="193">
        <v>54289000</v>
      </c>
      <c r="Q126" s="193">
        <v>-36471000</v>
      </c>
      <c r="R126" s="194">
        <v>-1.4792765007126453E-2</v>
      </c>
      <c r="S126" s="194">
        <v>3.6812573059329244E-2</v>
      </c>
      <c r="T126" s="194">
        <v>2.2019808052202793E-2</v>
      </c>
      <c r="U126" s="195" t="s">
        <v>747</v>
      </c>
      <c r="V126" s="195" t="s">
        <v>747</v>
      </c>
      <c r="W126" s="196">
        <v>1.3524253616608726</v>
      </c>
      <c r="X126" s="195" t="s">
        <v>747</v>
      </c>
      <c r="Y126" s="193">
        <v>2425398000</v>
      </c>
      <c r="Z126" s="194">
        <v>5.7146554252055129E-2</v>
      </c>
      <c r="AA126" s="196">
        <v>3.6678098557895034</v>
      </c>
      <c r="AB126" s="194">
        <v>0.48978971174193753</v>
      </c>
      <c r="AC126" s="194">
        <v>0.4352092929377695</v>
      </c>
    </row>
    <row r="128" spans="1:36" ht="30" customHeight="1" x14ac:dyDescent="0.3">
      <c r="M128" s="261"/>
    </row>
    <row r="130" spans="14:14" ht="30" customHeight="1" x14ac:dyDescent="0.3">
      <c r="N130" s="261"/>
    </row>
  </sheetData>
  <protectedRanges>
    <protectedRange sqref="D2:D102" name="Range1_1_6"/>
    <protectedRange sqref="C2:C102" name="Range1_1_7"/>
    <protectedRange sqref="A2:A41 A43:A102" name="Range1_1_8"/>
    <protectedRange sqref="A42" name="Range1_1_9"/>
  </protectedRanges>
  <autoFilter ref="A1:AC1" xr:uid="{38E8A6D4-BC12-4261-999C-52AE0AD5FD66}"/>
  <sortState xmlns:xlrd2="http://schemas.microsoft.com/office/spreadsheetml/2017/richdata2" ref="A2:AJ120">
    <sortCondition ref="B2:B120"/>
    <sortCondition ref="E2:E120" customList="HHS,AcuteHospital,PhysicianOrganization"/>
    <sortCondition ref="A2:A120"/>
  </sortState>
  <conditionalFormatting sqref="A1:AC126">
    <cfRule type="containsErrors" dxfId="3" priority="2">
      <formula>ISERROR(A1)</formula>
    </cfRule>
  </conditionalFormatting>
  <hyperlinks>
    <hyperlink ref="AC1" location="'Technical Appendix'!A88" tooltip="Long-Term Debt to Total Capitalization = Non-Current Long-Term Debt / (Non-Current Long-Term Debt + Unrestricted Net Assets)" display="Long Term Debt to Total Capitalization" xr:uid="{96AA5069-661E-4689-92E7-1B96EBCE29F1}"/>
    <hyperlink ref="X1" location="'Technical Appendix'!A65" tooltip="Days Cash on Hand = (Cash + Cash Equivalents + Short Term Investments) / [(Total Expenses – Depreciation and Amortization) / Days in Period]" display="Current Days Cash on Hand" xr:uid="{B6FED4AA-9413-4314-85DF-721A23728632}"/>
    <hyperlink ref="G1" location="'Technical Appendix'!A18" tooltip="Must have received more than 63% of its Gross Patient Service Revenue from government payers and free care." display="High Public Payer Status" xr:uid="{6C8C7A39-945C-4F30-8B2B-D755EDA7CC8A}"/>
    <hyperlink ref="Q1" location="'Technical Appendix'!A118" tooltip="Operating Profit (Loss) = Total Operating Revenue - Total Expenses" display="Operating Profit (Loss)" xr:uid="{47FD880F-2831-4098-881F-4C2798215775}"/>
    <hyperlink ref="M1" location="'Technical Appendix'!A114" tooltip="Total Workforce Expenses = Salary and Benefit Expenses - Total Temporary Staffing Expenses reported as Salary and Benefits" display="Workforce Expenses" xr:uid="{71D9C017-9304-47E6-A13A-2CE8C2408915}"/>
    <hyperlink ref="N1" location="'Technical Appendix'!A111" tooltip="The total costs for hiring temporary staffing at entities." display="Temporary Staffing Expenses" xr:uid="{B0D72FD2-0740-4AE5-9BBD-E00B3965C325}"/>
    <hyperlink ref="AB1" location="'Technical Appendix'!A84" tooltip="Equity Financing = Total Net Assets or Equity / Total Assets" display="Equity Financing Ratio" xr:uid="{DF595633-6BA9-4CD6-9C5B-3E93C8A724F4}"/>
    <hyperlink ref="AA1" location="'Technical Appendix'!A80" tooltip="DSCR = (Total Excess of Revenue, Gains, and Other Support Over Expenses + Depreciation and Amortization Expense + Interest Expense - Unrealized Gains Losses) / (Interest Expense + Current Long Term Debt)" display="Debt Service Coverage Ratio" xr:uid="{E71596F5-69C5-4E27-947B-FBFD214D5229}"/>
    <hyperlink ref="Z1" location="'Technical Appendix'!A76" tooltip="Cash Flow to Total Debt = (Total Excess of Revenue, Gains, and Other Support Over Expenses + Depreciation and Amortization Expense - Unrealized Gains Losses) / (Total Current Liabilities + Long Term Debt Net of Current Portion)" display="Cash Flow to Total Debt" xr:uid="{C37ED813-1BF4-48A9-8E2E-269F5D89506A}"/>
    <hyperlink ref="V1" location="'Technical Appendix'!A56" tooltip="Average Payment Period = (Total Current Liabilities – Estimated Third Party Settlements) / [(Total Expenses – Depreciation and Amortization Expense) / # Days in period]" display="Average Payment Period" xr:uid="{DD57A71C-141C-4997-8361-037E10C243EB}"/>
    <hyperlink ref="U1" location="'Technical Appendix'!A52" tooltip="Average Days in Accounts Receivable = Net Patient Accounts Receivable/(Net Patient Service Revenue / Days in Period)" display="Average Days in Accounts Receivable" xr:uid="{3E74524A-8170-4CCC-A09B-097CD6330259}"/>
    <hyperlink ref="O1" location="'Technical Appendix'!A108" tooltip="The total costs for the entity derived from operating and non-operating activities." display="Total Expenses" xr:uid="{0094BFF8-4745-4913-BB63-709FD27251BE}"/>
    <hyperlink ref="H1" location="'Technical Appendix'!A21" tooltip="Hospitals reporting at least 25 full-time equivalent medical school residents per one hundred inpatient beds." display="Teaching Hospital Status" xr:uid="{28167424-EE5B-437E-AF8E-E15F330CDC26}"/>
    <hyperlink ref="I1" location="'Technical Appendix'!A24" tooltip="The geographic regions presented in this report are derived from the Health Policy Commission (HPC) static geographic regions." display="Region" xr:uid="{2FB9D3FB-5166-454E-983E-875B20167470}"/>
    <hyperlink ref="L1" location="'Technical Appendix'!A105" tooltip="The combined revenue derived from all operating and non-operating activities." display="Total Revenue" xr:uid="{FC2C75FA-825F-4B49-AF4D-44FC690B623F}"/>
    <hyperlink ref="K1" location="'Technical Appendix'!A102" tooltip="Revenue from normal operations of an entity, including patient care and other activities." display="Total Operating Revenue" xr:uid="{D5684B73-6E7C-46C1-826F-86C55FF3B54D}"/>
    <hyperlink ref="Y1" location="'Technical Appendix'!A99" tooltip="For not-for-profit entities, this represents the difference between the assets and liabilities of an entity, comprised of retained earnings from operations and contributions from donors. The for-profit equivalent of Total Net Assets is Owner’s Equity." display="Total Net Assets or Equity" xr:uid="{A45CBF01-AC7C-4D34-AAF1-E5A21F1A060B}"/>
    <hyperlink ref="W1" location="'Technical Appendix'!A61" tooltip="Current Ratio = Total Current Assets / Total Current Liabilities" display="Current Ratio" xr:uid="{E66FDDFA-8684-4D36-9440-412ED982A525}"/>
    <hyperlink ref="P1" location="'Technical Appendix'!A95" tooltip="Total Excess of Revenue Over Expenses = Total Revenue - Total Expenses" display="Excess (Deficit) of Revenue over Expenses" xr:uid="{AF696B49-B5D3-43FE-9069-16229846CAE0}"/>
    <hyperlink ref="T1" location="'Technical Appendix'!A45" tooltip="Total Margin = Total Excess of Revenue, Gains and Other Support Over Expenses / Total Unrestricted Revenue, Gains and Other Support" display="Total Margin" xr:uid="{7936E6CD-1DEA-44FA-B528-C13DBB3A5E14}"/>
    <hyperlink ref="S1" location="'Technical Appendix'!A41" tooltip="Non-Operating Margin = Total Non-Operating Revenue / Total Unrestricted Revenue, Gains and Other Support" display="Non-Operating Margin" xr:uid="{67292194-777C-4B4B-A36E-45E129B38F55}"/>
    <hyperlink ref="R1" location="'Technical Appendix'!A37" tooltip="Operating Margin = (Total Operating Revenue – Total Expenses Including Nonrecurring Gains or Losses) / Total Unrestricted Revenue, Gains and Other Support" display="Operating Margin" xr:uid="{5F61A23D-ACB0-4529-8346-712D37597712}"/>
    <hyperlink ref="J1" location="'Technical Appendix'!A28" tooltip="The range of time with cumulative year-to-date financial data for the entity’s fiscal year on behalf of the health system, acute hospital, and affiliated physician organization. Reports are due forty-five days after the end of each quarter." display="Reporting Period" xr:uid="{CBDA88C4-BC4B-48D7-B8CF-DF21313EC0A7}"/>
    <hyperlink ref="F1" location="'Technical Appendix'!A9" tooltip="Click here for more information" display="Cohort (if applicable)" xr:uid="{B2BB3378-FBCE-4730-A0C9-47E7724EC5D6}"/>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06C321-3B51-4BF6-BF78-99D4BC120EC1}">
  <sheetPr codeName="Sheet9">
    <tabColor rgb="FFFF0000"/>
  </sheetPr>
  <dimension ref="A1:Z89"/>
  <sheetViews>
    <sheetView workbookViewId="0"/>
  </sheetViews>
  <sheetFormatPr defaultColWidth="9.44140625" defaultRowHeight="14.4" x14ac:dyDescent="0.3"/>
  <cols>
    <col min="1" max="1" width="53.44140625" style="13" bestFit="1" customWidth="1"/>
    <col min="2" max="3" width="6.44140625" style="13" customWidth="1"/>
    <col min="4" max="4" width="9.44140625" style="13" customWidth="1"/>
    <col min="5" max="7" width="39" style="13" customWidth="1"/>
    <col min="8" max="8" width="42.44140625" style="13" customWidth="1"/>
    <col min="9" max="9" width="9.5546875" style="13" customWidth="1"/>
    <col min="10" max="10" width="24.44140625" style="13" customWidth="1"/>
    <col min="11" max="11" width="23" style="13" customWidth="1"/>
    <col min="12" max="12" width="12.5546875" style="13" customWidth="1"/>
    <col min="13" max="13" width="11.5546875" style="13" customWidth="1"/>
    <col min="14" max="14" width="42.44140625" style="13" customWidth="1"/>
    <col min="15" max="15" width="36.44140625" style="13" customWidth="1"/>
    <col min="16" max="16" width="39.5546875" style="13" customWidth="1"/>
    <col min="17" max="17" width="11.44140625" style="13" customWidth="1"/>
    <col min="18" max="18" width="37.44140625" style="13" customWidth="1"/>
    <col min="19" max="19" width="19.44140625" style="13" hidden="1" customWidth="1"/>
    <col min="20" max="20" width="13.44140625" style="13" hidden="1" customWidth="1"/>
    <col min="21" max="21" width="14.44140625" style="13" hidden="1" customWidth="1"/>
    <col min="22" max="22" width="10.44140625" style="13" customWidth="1"/>
    <col min="23" max="23" width="47.44140625" style="13" bestFit="1" customWidth="1"/>
    <col min="24" max="25" width="24.44140625" style="13" customWidth="1"/>
    <col min="26" max="26" width="40" style="13" bestFit="1" customWidth="1"/>
    <col min="27" max="16384" width="9.44140625" style="13"/>
  </cols>
  <sheetData>
    <row r="1" spans="1:26" ht="15" thickBot="1" x14ac:dyDescent="0.35">
      <c r="A1" s="16" t="s">
        <v>379</v>
      </c>
      <c r="B1" s="17" t="s">
        <v>380</v>
      </c>
      <c r="C1" s="17" t="s">
        <v>381</v>
      </c>
      <c r="D1" s="17" t="s">
        <v>382</v>
      </c>
      <c r="E1" s="17" t="s">
        <v>383</v>
      </c>
      <c r="F1" s="17" t="s">
        <v>50</v>
      </c>
      <c r="G1" s="17" t="s">
        <v>51</v>
      </c>
      <c r="H1" s="17" t="s">
        <v>384</v>
      </c>
      <c r="I1" s="17" t="s">
        <v>385</v>
      </c>
      <c r="J1" s="17" t="s">
        <v>14</v>
      </c>
      <c r="K1" s="49" t="s">
        <v>386</v>
      </c>
      <c r="L1" s="17" t="s">
        <v>387</v>
      </c>
      <c r="M1" s="17" t="s">
        <v>388</v>
      </c>
      <c r="N1" s="18" t="s">
        <v>389</v>
      </c>
      <c r="O1" s="18" t="s">
        <v>390</v>
      </c>
      <c r="P1" s="18" t="s">
        <v>391</v>
      </c>
      <c r="Q1" s="18" t="s">
        <v>392</v>
      </c>
      <c r="R1" s="18" t="s">
        <v>393</v>
      </c>
      <c r="S1" s="19" t="s">
        <v>394</v>
      </c>
      <c r="T1" s="20" t="s">
        <v>395</v>
      </c>
      <c r="U1" s="20" t="s">
        <v>396</v>
      </c>
      <c r="V1" s="16" t="s">
        <v>397</v>
      </c>
      <c r="W1" s="17" t="s">
        <v>398</v>
      </c>
      <c r="X1" s="17" t="s">
        <v>399</v>
      </c>
      <c r="Y1" s="17" t="s">
        <v>400</v>
      </c>
      <c r="Z1" s="21" t="s">
        <v>401</v>
      </c>
    </row>
    <row r="2" spans="1:26" ht="15" thickTop="1" x14ac:dyDescent="0.3">
      <c r="A2" s="22" t="s">
        <v>91</v>
      </c>
      <c r="B2" s="23">
        <v>1</v>
      </c>
      <c r="C2" s="23">
        <v>2006</v>
      </c>
      <c r="D2" s="22">
        <v>16665</v>
      </c>
      <c r="E2" s="23" t="s">
        <v>24</v>
      </c>
      <c r="F2" s="67" t="s">
        <v>78</v>
      </c>
      <c r="G2" s="67"/>
      <c r="H2" s="23" t="s">
        <v>402</v>
      </c>
      <c r="I2" s="23" t="s">
        <v>403</v>
      </c>
      <c r="J2" s="23" t="s">
        <v>33</v>
      </c>
      <c r="K2" s="23" t="s">
        <v>404</v>
      </c>
      <c r="L2" s="23" t="s">
        <v>405</v>
      </c>
      <c r="M2" s="23"/>
      <c r="N2" s="24" t="s">
        <v>90</v>
      </c>
      <c r="O2" s="24" t="s">
        <v>406</v>
      </c>
      <c r="P2" s="24" t="s">
        <v>407</v>
      </c>
      <c r="Q2" s="24" t="s">
        <v>408</v>
      </c>
      <c r="R2" s="24" t="s">
        <v>91</v>
      </c>
      <c r="S2" s="24" t="s">
        <v>409</v>
      </c>
      <c r="T2" s="24"/>
      <c r="U2" s="24" t="s">
        <v>410</v>
      </c>
      <c r="V2" s="25">
        <v>45199</v>
      </c>
      <c r="W2" s="23" t="s">
        <v>411</v>
      </c>
      <c r="X2" s="23">
        <v>42.81438</v>
      </c>
      <c r="Y2" s="23">
        <v>-70.891281000000006</v>
      </c>
      <c r="Z2" s="26" t="s">
        <v>90</v>
      </c>
    </row>
    <row r="3" spans="1:26" x14ac:dyDescent="0.3">
      <c r="A3" s="27" t="s">
        <v>412</v>
      </c>
      <c r="B3" s="28">
        <v>2</v>
      </c>
      <c r="C3" s="28">
        <v>2226</v>
      </c>
      <c r="D3" s="27">
        <v>12807</v>
      </c>
      <c r="E3" s="28" t="s">
        <v>24</v>
      </c>
      <c r="F3" s="68" t="s">
        <v>78</v>
      </c>
      <c r="G3" s="68"/>
      <c r="H3" s="28" t="s">
        <v>413</v>
      </c>
      <c r="I3" s="28" t="s">
        <v>414</v>
      </c>
      <c r="J3" s="28" t="s">
        <v>25</v>
      </c>
      <c r="K3" s="28" t="s">
        <v>415</v>
      </c>
      <c r="L3" s="28"/>
      <c r="M3" s="28"/>
      <c r="N3" s="29" t="s">
        <v>134</v>
      </c>
      <c r="O3" s="29" t="s">
        <v>406</v>
      </c>
      <c r="P3" s="29" t="s">
        <v>415</v>
      </c>
      <c r="Q3" s="29" t="s">
        <v>408</v>
      </c>
      <c r="R3" s="29" t="s">
        <v>412</v>
      </c>
      <c r="S3" s="29" t="s">
        <v>409</v>
      </c>
      <c r="T3" s="29"/>
      <c r="U3" s="29"/>
      <c r="V3" s="30">
        <v>45199</v>
      </c>
      <c r="W3" s="28" t="s">
        <v>416</v>
      </c>
      <c r="X3" s="28">
        <v>42.58549</v>
      </c>
      <c r="Y3" s="28">
        <v>-72.208680000000001</v>
      </c>
      <c r="Z3" s="31" t="s">
        <v>134</v>
      </c>
    </row>
    <row r="4" spans="1:26" x14ac:dyDescent="0.3">
      <c r="A4" s="22" t="s">
        <v>76</v>
      </c>
      <c r="B4" s="23">
        <v>5</v>
      </c>
      <c r="C4" s="23">
        <v>2120</v>
      </c>
      <c r="D4" s="22">
        <v>4066</v>
      </c>
      <c r="E4" s="23" t="s">
        <v>24</v>
      </c>
      <c r="F4" s="67" t="s">
        <v>78</v>
      </c>
      <c r="G4" s="67"/>
      <c r="H4" s="23" t="s">
        <v>417</v>
      </c>
      <c r="I4" s="23" t="s">
        <v>418</v>
      </c>
      <c r="J4" s="23" t="s">
        <v>35</v>
      </c>
      <c r="K4" s="23" t="s">
        <v>415</v>
      </c>
      <c r="L4" s="23"/>
      <c r="M4" s="23"/>
      <c r="N4" s="24" t="s">
        <v>74</v>
      </c>
      <c r="O4" s="24" t="s">
        <v>406</v>
      </c>
      <c r="P4" s="24" t="s">
        <v>415</v>
      </c>
      <c r="Q4" s="24" t="s">
        <v>408</v>
      </c>
      <c r="R4" s="24" t="s">
        <v>76</v>
      </c>
      <c r="S4" s="24" t="s">
        <v>409</v>
      </c>
      <c r="T4" s="24"/>
      <c r="U4" s="24"/>
      <c r="V4" s="25">
        <v>45199</v>
      </c>
      <c r="W4" s="23" t="s">
        <v>419</v>
      </c>
      <c r="X4" s="23">
        <v>42.595889999999997</v>
      </c>
      <c r="Y4" s="23">
        <v>-72.592470000000006</v>
      </c>
      <c r="Z4" s="26" t="s">
        <v>74</v>
      </c>
    </row>
    <row r="5" spans="1:26" x14ac:dyDescent="0.3">
      <c r="A5" s="27" t="s">
        <v>79</v>
      </c>
      <c r="B5" s="28">
        <v>4</v>
      </c>
      <c r="C5" s="28">
        <v>2339</v>
      </c>
      <c r="D5" s="27">
        <v>4066</v>
      </c>
      <c r="E5" s="28" t="s">
        <v>30</v>
      </c>
      <c r="F5" s="68" t="s">
        <v>78</v>
      </c>
      <c r="G5" s="68" t="s">
        <v>78</v>
      </c>
      <c r="H5" s="28" t="s">
        <v>420</v>
      </c>
      <c r="I5" s="28" t="s">
        <v>421</v>
      </c>
      <c r="J5" s="28" t="s">
        <v>35</v>
      </c>
      <c r="K5" s="28" t="s">
        <v>422</v>
      </c>
      <c r="L5" s="28" t="s">
        <v>423</v>
      </c>
      <c r="M5" s="28" t="s">
        <v>424</v>
      </c>
      <c r="N5" s="29" t="s">
        <v>74</v>
      </c>
      <c r="O5" s="29" t="s">
        <v>406</v>
      </c>
      <c r="P5" s="29" t="s">
        <v>415</v>
      </c>
      <c r="Q5" s="29" t="s">
        <v>408</v>
      </c>
      <c r="R5" s="29" t="s">
        <v>79</v>
      </c>
      <c r="S5" s="29" t="s">
        <v>425</v>
      </c>
      <c r="T5" s="29"/>
      <c r="U5" s="29"/>
      <c r="V5" s="30">
        <v>45199</v>
      </c>
      <c r="W5" s="28" t="s">
        <v>426</v>
      </c>
      <c r="X5" s="28">
        <v>42.121859999999998</v>
      </c>
      <c r="Y5" s="28">
        <v>-72.602900000000005</v>
      </c>
      <c r="Z5" s="31" t="s">
        <v>74</v>
      </c>
    </row>
    <row r="6" spans="1:26" x14ac:dyDescent="0.3">
      <c r="A6" s="22" t="s">
        <v>80</v>
      </c>
      <c r="B6" s="23">
        <v>106</v>
      </c>
      <c r="C6" s="23">
        <v>2076</v>
      </c>
      <c r="D6" s="22">
        <v>4066</v>
      </c>
      <c r="E6" s="23" t="s">
        <v>24</v>
      </c>
      <c r="F6" s="67" t="s">
        <v>78</v>
      </c>
      <c r="G6" s="67"/>
      <c r="H6" s="23" t="s">
        <v>427</v>
      </c>
      <c r="I6" s="23" t="s">
        <v>421</v>
      </c>
      <c r="J6" s="23" t="s">
        <v>35</v>
      </c>
      <c r="K6" s="23" t="s">
        <v>415</v>
      </c>
      <c r="L6" s="23"/>
      <c r="M6" s="23"/>
      <c r="N6" s="24" t="s">
        <v>74</v>
      </c>
      <c r="O6" s="24" t="s">
        <v>406</v>
      </c>
      <c r="P6" s="24" t="s">
        <v>415</v>
      </c>
      <c r="Q6" s="24" t="s">
        <v>408</v>
      </c>
      <c r="R6" s="24" t="s">
        <v>80</v>
      </c>
      <c r="S6" s="24" t="s">
        <v>409</v>
      </c>
      <c r="T6" s="24"/>
      <c r="U6" s="24"/>
      <c r="V6" s="25">
        <v>45199</v>
      </c>
      <c r="W6" s="23" t="s">
        <v>428</v>
      </c>
      <c r="X6" s="23">
        <v>42.118000000000002</v>
      </c>
      <c r="Y6" s="23">
        <v>-72.759829999999994</v>
      </c>
      <c r="Z6" s="26" t="s">
        <v>74</v>
      </c>
    </row>
    <row r="7" spans="1:26" x14ac:dyDescent="0.3">
      <c r="A7" s="27" t="s">
        <v>81</v>
      </c>
      <c r="B7" s="28">
        <v>14495</v>
      </c>
      <c r="C7" s="28">
        <v>2181</v>
      </c>
      <c r="D7" s="27">
        <v>4066</v>
      </c>
      <c r="E7" s="28" t="s">
        <v>24</v>
      </c>
      <c r="F7" s="68" t="s">
        <v>78</v>
      </c>
      <c r="G7" s="68"/>
      <c r="H7" s="28" t="s">
        <v>429</v>
      </c>
      <c r="I7" s="28" t="s">
        <v>421</v>
      </c>
      <c r="J7" s="28" t="s">
        <v>35</v>
      </c>
      <c r="K7" s="28" t="s">
        <v>415</v>
      </c>
      <c r="L7" s="28"/>
      <c r="M7" s="28"/>
      <c r="N7" s="29" t="s">
        <v>74</v>
      </c>
      <c r="O7" s="29" t="s">
        <v>406</v>
      </c>
      <c r="P7" s="29" t="s">
        <v>415</v>
      </c>
      <c r="Q7" s="29" t="s">
        <v>408</v>
      </c>
      <c r="R7" s="29" t="s">
        <v>81</v>
      </c>
      <c r="S7" s="29" t="s">
        <v>409</v>
      </c>
      <c r="T7" s="29"/>
      <c r="U7" s="29"/>
      <c r="V7" s="30">
        <v>45199</v>
      </c>
      <c r="W7" s="28" t="s">
        <v>430</v>
      </c>
      <c r="X7" s="28">
        <v>42.169640000000001</v>
      </c>
      <c r="Y7" s="28">
        <v>-72.341520000000003</v>
      </c>
      <c r="Z7" s="31" t="s">
        <v>74</v>
      </c>
    </row>
    <row r="8" spans="1:26" x14ac:dyDescent="0.3">
      <c r="A8" s="22" t="s">
        <v>86</v>
      </c>
      <c r="B8" s="23">
        <v>6309</v>
      </c>
      <c r="C8" s="23">
        <v>2313</v>
      </c>
      <c r="D8" s="22">
        <v>3106</v>
      </c>
      <c r="E8" s="23" t="s">
        <v>30</v>
      </c>
      <c r="F8" s="67" t="s">
        <v>78</v>
      </c>
      <c r="G8" s="67"/>
      <c r="H8" s="23" t="s">
        <v>431</v>
      </c>
      <c r="I8" s="23" t="s">
        <v>432</v>
      </c>
      <c r="J8" s="23" t="s">
        <v>35</v>
      </c>
      <c r="K8" s="23" t="s">
        <v>404</v>
      </c>
      <c r="L8" s="23" t="s">
        <v>405</v>
      </c>
      <c r="M8" s="23"/>
      <c r="N8" s="24" t="s">
        <v>85</v>
      </c>
      <c r="O8" s="24" t="s">
        <v>406</v>
      </c>
      <c r="P8" s="24" t="s">
        <v>415</v>
      </c>
      <c r="Q8" s="24" t="s">
        <v>408</v>
      </c>
      <c r="R8" s="24" t="s">
        <v>86</v>
      </c>
      <c r="S8" s="24" t="s">
        <v>433</v>
      </c>
      <c r="T8" s="24"/>
      <c r="U8" s="24"/>
      <c r="V8" s="25">
        <v>45199</v>
      </c>
      <c r="W8" s="23" t="s">
        <v>434</v>
      </c>
      <c r="X8" s="23">
        <v>42.459780000000002</v>
      </c>
      <c r="Y8" s="23">
        <v>-73.248999999999995</v>
      </c>
      <c r="Z8" s="26" t="s">
        <v>85</v>
      </c>
    </row>
    <row r="9" spans="1:26" x14ac:dyDescent="0.3">
      <c r="A9" s="27" t="s">
        <v>92</v>
      </c>
      <c r="B9" s="28">
        <v>98</v>
      </c>
      <c r="C9" s="28">
        <v>2227</v>
      </c>
      <c r="D9" s="27">
        <v>16665</v>
      </c>
      <c r="E9" s="28" t="s">
        <v>27</v>
      </c>
      <c r="F9" s="68"/>
      <c r="G9" s="68"/>
      <c r="H9" s="28" t="s">
        <v>435</v>
      </c>
      <c r="I9" s="28" t="s">
        <v>436</v>
      </c>
      <c r="J9" s="28" t="s">
        <v>28</v>
      </c>
      <c r="K9" s="28" t="s">
        <v>415</v>
      </c>
      <c r="L9" s="28"/>
      <c r="M9" s="28"/>
      <c r="N9" s="29" t="s">
        <v>90</v>
      </c>
      <c r="O9" s="29" t="s">
        <v>406</v>
      </c>
      <c r="P9" s="29" t="s">
        <v>407</v>
      </c>
      <c r="Q9" s="29" t="s">
        <v>408</v>
      </c>
      <c r="R9" s="29" t="s">
        <v>92</v>
      </c>
      <c r="S9" s="29" t="s">
        <v>409</v>
      </c>
      <c r="T9" s="29"/>
      <c r="U9" s="29" t="s">
        <v>410</v>
      </c>
      <c r="V9" s="30">
        <v>45199</v>
      </c>
      <c r="W9" s="28" t="s">
        <v>437</v>
      </c>
      <c r="X9" s="28">
        <v>42.251480000000001</v>
      </c>
      <c r="Y9" s="28">
        <v>-71.077299999999994</v>
      </c>
      <c r="Z9" s="31" t="s">
        <v>90</v>
      </c>
    </row>
    <row r="10" spans="1:26" x14ac:dyDescent="0.3">
      <c r="A10" s="22" t="s">
        <v>93</v>
      </c>
      <c r="B10" s="23">
        <v>53</v>
      </c>
      <c r="C10" s="23">
        <v>2054</v>
      </c>
      <c r="D10" s="22">
        <v>16665</v>
      </c>
      <c r="E10" s="23" t="s">
        <v>27</v>
      </c>
      <c r="F10" s="67"/>
      <c r="G10" s="67"/>
      <c r="H10" s="23" t="s">
        <v>438</v>
      </c>
      <c r="I10" s="23" t="s">
        <v>436</v>
      </c>
      <c r="J10" s="23" t="s">
        <v>28</v>
      </c>
      <c r="K10" s="23" t="s">
        <v>415</v>
      </c>
      <c r="L10" s="23"/>
      <c r="M10" s="23"/>
      <c r="N10" s="24" t="s">
        <v>90</v>
      </c>
      <c r="O10" s="24" t="s">
        <v>406</v>
      </c>
      <c r="P10" s="24" t="s">
        <v>407</v>
      </c>
      <c r="Q10" s="24" t="s">
        <v>408</v>
      </c>
      <c r="R10" s="24" t="s">
        <v>93</v>
      </c>
      <c r="S10" s="24" t="s">
        <v>409</v>
      </c>
      <c r="T10" s="24"/>
      <c r="U10" s="24"/>
      <c r="V10" s="25">
        <v>45199</v>
      </c>
      <c r="W10" s="23" t="s">
        <v>439</v>
      </c>
      <c r="X10" s="23">
        <v>42.277079999999998</v>
      </c>
      <c r="Y10" s="23">
        <v>-71.236680000000007</v>
      </c>
      <c r="Z10" s="26" t="s">
        <v>90</v>
      </c>
    </row>
    <row r="11" spans="1:26" x14ac:dyDescent="0.3">
      <c r="A11" s="27" t="s">
        <v>94</v>
      </c>
      <c r="B11" s="28">
        <v>79</v>
      </c>
      <c r="C11" s="28">
        <v>2082</v>
      </c>
      <c r="D11" s="27">
        <v>16665</v>
      </c>
      <c r="E11" s="28" t="s">
        <v>24</v>
      </c>
      <c r="F11" s="68" t="s">
        <v>78</v>
      </c>
      <c r="G11" s="68"/>
      <c r="H11" s="28" t="s">
        <v>440</v>
      </c>
      <c r="I11" s="28" t="s">
        <v>441</v>
      </c>
      <c r="J11" s="28" t="s">
        <v>31</v>
      </c>
      <c r="K11" s="28" t="s">
        <v>415</v>
      </c>
      <c r="L11" s="28"/>
      <c r="M11" s="28"/>
      <c r="N11" s="29" t="s">
        <v>90</v>
      </c>
      <c r="O11" s="29" t="s">
        <v>406</v>
      </c>
      <c r="P11" s="29" t="s">
        <v>407</v>
      </c>
      <c r="Q11" s="29" t="s">
        <v>408</v>
      </c>
      <c r="R11" s="29" t="s">
        <v>94</v>
      </c>
      <c r="S11" s="29" t="s">
        <v>425</v>
      </c>
      <c r="T11" s="29"/>
      <c r="U11" s="29"/>
      <c r="V11" s="30">
        <v>45199</v>
      </c>
      <c r="W11" s="28" t="s">
        <v>442</v>
      </c>
      <c r="X11" s="28">
        <v>41.94303</v>
      </c>
      <c r="Y11" s="28">
        <v>-70.645349999999993</v>
      </c>
      <c r="Z11" s="31" t="s">
        <v>90</v>
      </c>
    </row>
    <row r="12" spans="1:26" x14ac:dyDescent="0.3">
      <c r="A12" s="22" t="s">
        <v>95</v>
      </c>
      <c r="B12" s="23">
        <v>8702</v>
      </c>
      <c r="C12" s="23">
        <v>2069</v>
      </c>
      <c r="D12" s="22">
        <v>16665</v>
      </c>
      <c r="E12" s="23" t="s">
        <v>22</v>
      </c>
      <c r="F12" s="67"/>
      <c r="G12" s="67" t="s">
        <v>78</v>
      </c>
      <c r="H12" s="23" t="s">
        <v>443</v>
      </c>
      <c r="I12" s="23" t="s">
        <v>444</v>
      </c>
      <c r="J12" s="23" t="s">
        <v>28</v>
      </c>
      <c r="K12" s="23" t="s">
        <v>445</v>
      </c>
      <c r="L12" s="23" t="s">
        <v>423</v>
      </c>
      <c r="M12" s="23"/>
      <c r="N12" s="24" t="s">
        <v>90</v>
      </c>
      <c r="O12" s="24" t="s">
        <v>406</v>
      </c>
      <c r="P12" s="24" t="s">
        <v>407</v>
      </c>
      <c r="Q12" s="24" t="s">
        <v>408</v>
      </c>
      <c r="R12" s="24" t="s">
        <v>95</v>
      </c>
      <c r="S12" s="24" t="s">
        <v>409</v>
      </c>
      <c r="T12" s="24"/>
      <c r="U12" s="24" t="s">
        <v>410</v>
      </c>
      <c r="V12" s="25">
        <v>45199</v>
      </c>
      <c r="W12" s="23" t="s">
        <v>446</v>
      </c>
      <c r="X12" s="23">
        <v>42.340249999999997</v>
      </c>
      <c r="Y12" s="23">
        <v>-71.104900000000001</v>
      </c>
      <c r="Z12" s="26" t="s">
        <v>90</v>
      </c>
    </row>
    <row r="13" spans="1:26" x14ac:dyDescent="0.3">
      <c r="A13" s="27" t="s">
        <v>115</v>
      </c>
      <c r="B13" s="28">
        <v>46</v>
      </c>
      <c r="C13" s="28">
        <v>2139</v>
      </c>
      <c r="D13" s="27">
        <v>14286</v>
      </c>
      <c r="E13" s="28" t="s">
        <v>99</v>
      </c>
      <c r="F13" s="68"/>
      <c r="G13" s="68" t="s">
        <v>78</v>
      </c>
      <c r="H13" s="28" t="s">
        <v>443</v>
      </c>
      <c r="I13" s="28" t="s">
        <v>444</v>
      </c>
      <c r="J13" s="28" t="s">
        <v>28</v>
      </c>
      <c r="K13" s="28" t="s">
        <v>447</v>
      </c>
      <c r="L13" s="28"/>
      <c r="M13" s="28" t="s">
        <v>448</v>
      </c>
      <c r="N13" s="29" t="s">
        <v>114</v>
      </c>
      <c r="O13" s="29" t="s">
        <v>449</v>
      </c>
      <c r="P13" s="29" t="s">
        <v>415</v>
      </c>
      <c r="Q13" s="29" t="s">
        <v>408</v>
      </c>
      <c r="R13" s="29" t="s">
        <v>115</v>
      </c>
      <c r="S13" s="29" t="s">
        <v>415</v>
      </c>
      <c r="T13" s="29"/>
      <c r="U13" s="29"/>
      <c r="V13" s="30">
        <v>45199</v>
      </c>
      <c r="W13" s="28" t="s">
        <v>450</v>
      </c>
      <c r="X13" s="28">
        <v>42.337189000000002</v>
      </c>
      <c r="Y13" s="28">
        <v>-71.105323999999996</v>
      </c>
      <c r="Z13" s="31" t="s">
        <v>114</v>
      </c>
    </row>
    <row r="14" spans="1:26" x14ac:dyDescent="0.3">
      <c r="A14" s="69" t="s">
        <v>118</v>
      </c>
      <c r="B14" s="23">
        <v>3107</v>
      </c>
      <c r="C14" s="23">
        <v>2307</v>
      </c>
      <c r="D14" s="22">
        <v>14287</v>
      </c>
      <c r="E14" s="23" t="s">
        <v>22</v>
      </c>
      <c r="F14" s="67" t="s">
        <v>78</v>
      </c>
      <c r="G14" s="67" t="s">
        <v>78</v>
      </c>
      <c r="H14" s="23" t="s">
        <v>443</v>
      </c>
      <c r="I14" s="23" t="s">
        <v>444</v>
      </c>
      <c r="J14" s="23" t="s">
        <v>28</v>
      </c>
      <c r="K14" s="23" t="s">
        <v>451</v>
      </c>
      <c r="L14" s="23" t="s">
        <v>423</v>
      </c>
      <c r="M14" s="70" t="s">
        <v>448</v>
      </c>
      <c r="N14" s="24" t="s">
        <v>117</v>
      </c>
      <c r="O14" s="71" t="s">
        <v>406</v>
      </c>
      <c r="P14" s="24" t="s">
        <v>415</v>
      </c>
      <c r="Q14" s="24" t="s">
        <v>408</v>
      </c>
      <c r="R14" s="24" t="s">
        <v>118</v>
      </c>
      <c r="S14" s="24" t="s">
        <v>433</v>
      </c>
      <c r="T14" s="24"/>
      <c r="U14" s="24"/>
      <c r="V14" s="25">
        <v>45199</v>
      </c>
      <c r="W14" s="23" t="s">
        <v>452</v>
      </c>
      <c r="X14" s="23">
        <v>42.349600000000002</v>
      </c>
      <c r="Y14" s="23">
        <v>-71.075919999999996</v>
      </c>
      <c r="Z14" s="26" t="s">
        <v>117</v>
      </c>
    </row>
    <row r="15" spans="1:26" x14ac:dyDescent="0.3">
      <c r="A15" s="27" t="s">
        <v>142</v>
      </c>
      <c r="B15" s="28">
        <v>59</v>
      </c>
      <c r="C15" s="28">
        <v>2048</v>
      </c>
      <c r="D15" s="27">
        <v>3791</v>
      </c>
      <c r="E15" s="72" t="s">
        <v>24</v>
      </c>
      <c r="F15" s="68" t="s">
        <v>78</v>
      </c>
      <c r="G15" s="68" t="s">
        <v>78</v>
      </c>
      <c r="H15" s="28" t="s">
        <v>443</v>
      </c>
      <c r="I15" s="28" t="s">
        <v>444</v>
      </c>
      <c r="J15" s="28" t="s">
        <v>28</v>
      </c>
      <c r="K15" s="28" t="s">
        <v>415</v>
      </c>
      <c r="L15" s="28"/>
      <c r="M15" s="28"/>
      <c r="N15" s="29" t="s">
        <v>141</v>
      </c>
      <c r="O15" s="29" t="s">
        <v>406</v>
      </c>
      <c r="P15" s="29" t="s">
        <v>415</v>
      </c>
      <c r="Q15" s="29" t="s">
        <v>408</v>
      </c>
      <c r="R15" s="29" t="s">
        <v>142</v>
      </c>
      <c r="S15" s="29" t="s">
        <v>409</v>
      </c>
      <c r="T15" s="29"/>
      <c r="U15" s="29"/>
      <c r="V15" s="30">
        <v>45199</v>
      </c>
      <c r="W15" s="28" t="s">
        <v>453</v>
      </c>
      <c r="X15" s="28">
        <v>42.301470000000002</v>
      </c>
      <c r="Y15" s="28">
        <v>-71.128320000000002</v>
      </c>
      <c r="Z15" s="31" t="s">
        <v>141</v>
      </c>
    </row>
    <row r="16" spans="1:26" x14ac:dyDescent="0.3">
      <c r="A16" s="22" t="s">
        <v>143</v>
      </c>
      <c r="B16" s="23">
        <v>22</v>
      </c>
      <c r="C16" s="23">
        <v>2921</v>
      </c>
      <c r="D16" s="22">
        <v>3791</v>
      </c>
      <c r="E16" s="23" t="s">
        <v>22</v>
      </c>
      <c r="F16" s="67"/>
      <c r="G16" s="67" t="s">
        <v>78</v>
      </c>
      <c r="H16" s="23" t="s">
        <v>443</v>
      </c>
      <c r="I16" s="23" t="s">
        <v>444</v>
      </c>
      <c r="J16" s="23" t="s">
        <v>28</v>
      </c>
      <c r="K16" s="23" t="s">
        <v>445</v>
      </c>
      <c r="L16" s="23" t="s">
        <v>423</v>
      </c>
      <c r="M16" s="23"/>
      <c r="N16" s="24" t="s">
        <v>141</v>
      </c>
      <c r="O16" s="24" t="s">
        <v>406</v>
      </c>
      <c r="P16" s="24" t="s">
        <v>415</v>
      </c>
      <c r="Q16" s="24" t="s">
        <v>408</v>
      </c>
      <c r="R16" s="24" t="s">
        <v>143</v>
      </c>
      <c r="S16" s="24" t="s">
        <v>415</v>
      </c>
      <c r="T16" s="24"/>
      <c r="U16" s="24"/>
      <c r="V16" s="25">
        <v>45199</v>
      </c>
      <c r="W16" s="23" t="s">
        <v>454</v>
      </c>
      <c r="X16" s="23">
        <v>42.336120000000001</v>
      </c>
      <c r="Y16" s="23">
        <v>-71.107479999999995</v>
      </c>
      <c r="Z16" s="26" t="s">
        <v>141</v>
      </c>
    </row>
    <row r="17" spans="1:26" x14ac:dyDescent="0.3">
      <c r="A17" s="27" t="s">
        <v>121</v>
      </c>
      <c r="B17" s="28">
        <v>3108</v>
      </c>
      <c r="C17" s="28">
        <v>2108</v>
      </c>
      <c r="D17" s="27">
        <v>13159</v>
      </c>
      <c r="E17" s="28" t="s">
        <v>30</v>
      </c>
      <c r="F17" s="68" t="s">
        <v>78</v>
      </c>
      <c r="G17" s="68" t="s">
        <v>78</v>
      </c>
      <c r="H17" s="28" t="s">
        <v>455</v>
      </c>
      <c r="I17" s="28" t="s">
        <v>456</v>
      </c>
      <c r="J17" s="28" t="s">
        <v>28</v>
      </c>
      <c r="K17" s="28" t="s">
        <v>415</v>
      </c>
      <c r="L17" s="28"/>
      <c r="M17" s="28"/>
      <c r="N17" s="29" t="s">
        <v>121</v>
      </c>
      <c r="O17" s="29" t="s">
        <v>449</v>
      </c>
      <c r="P17" s="29" t="s">
        <v>415</v>
      </c>
      <c r="Q17" s="29" t="s">
        <v>457</v>
      </c>
      <c r="R17" s="29" t="s">
        <v>121</v>
      </c>
      <c r="S17" s="29" t="s">
        <v>409</v>
      </c>
      <c r="T17" s="29"/>
      <c r="U17" s="29"/>
      <c r="V17" s="30">
        <v>45107</v>
      </c>
      <c r="W17" s="28" t="s">
        <v>458</v>
      </c>
      <c r="X17" s="28">
        <v>42.374760000000002</v>
      </c>
      <c r="Y17" s="28">
        <v>-71.104439999999997</v>
      </c>
      <c r="Z17" s="31" t="s">
        <v>121</v>
      </c>
    </row>
    <row r="18" spans="1:26" x14ac:dyDescent="0.3">
      <c r="A18" s="69" t="s">
        <v>124</v>
      </c>
      <c r="B18" s="23">
        <v>39</v>
      </c>
      <c r="C18" s="23">
        <v>2135</v>
      </c>
      <c r="D18" s="22">
        <v>3109</v>
      </c>
      <c r="E18" s="23" t="s">
        <v>24</v>
      </c>
      <c r="F18" s="67" t="s">
        <v>78</v>
      </c>
      <c r="G18" s="67"/>
      <c r="H18" s="23" t="s">
        <v>459</v>
      </c>
      <c r="I18" s="23" t="s">
        <v>460</v>
      </c>
      <c r="J18" s="23" t="s">
        <v>23</v>
      </c>
      <c r="K18" s="23" t="s">
        <v>404</v>
      </c>
      <c r="L18" s="70" t="s">
        <v>405</v>
      </c>
      <c r="M18" s="23"/>
      <c r="N18" s="24" t="s">
        <v>123</v>
      </c>
      <c r="O18" s="24" t="s">
        <v>406</v>
      </c>
      <c r="P18" s="24" t="s">
        <v>415</v>
      </c>
      <c r="Q18" s="24" t="s">
        <v>408</v>
      </c>
      <c r="R18" s="24" t="s">
        <v>124</v>
      </c>
      <c r="S18" s="24" t="s">
        <v>415</v>
      </c>
      <c r="T18" s="24"/>
      <c r="U18" s="24"/>
      <c r="V18" s="25">
        <v>45199</v>
      </c>
      <c r="W18" s="23" t="s">
        <v>461</v>
      </c>
      <c r="X18" s="23">
        <v>41.653489999999998</v>
      </c>
      <c r="Y18" s="23">
        <v>-70.273259999999993</v>
      </c>
      <c r="Z18" s="26" t="s">
        <v>123</v>
      </c>
    </row>
    <row r="19" spans="1:26" x14ac:dyDescent="0.3">
      <c r="A19" s="27" t="s">
        <v>144</v>
      </c>
      <c r="B19" s="28">
        <v>50</v>
      </c>
      <c r="C19" s="28">
        <v>2155</v>
      </c>
      <c r="D19" s="27">
        <v>3791</v>
      </c>
      <c r="E19" s="28" t="s">
        <v>24</v>
      </c>
      <c r="F19" s="68" t="s">
        <v>78</v>
      </c>
      <c r="G19" s="68"/>
      <c r="H19" s="28" t="s">
        <v>462</v>
      </c>
      <c r="I19" s="28" t="s">
        <v>463</v>
      </c>
      <c r="J19" s="28" t="s">
        <v>35</v>
      </c>
      <c r="K19" s="28" t="s">
        <v>415</v>
      </c>
      <c r="L19" s="28"/>
      <c r="M19" s="28"/>
      <c r="N19" s="29" t="s">
        <v>141</v>
      </c>
      <c r="O19" s="29" t="s">
        <v>406</v>
      </c>
      <c r="P19" s="29" t="s">
        <v>415</v>
      </c>
      <c r="Q19" s="29" t="s">
        <v>408</v>
      </c>
      <c r="R19" s="29" t="s">
        <v>144</v>
      </c>
      <c r="S19" s="29" t="s">
        <v>409</v>
      </c>
      <c r="T19" s="29"/>
      <c r="U19" s="29"/>
      <c r="V19" s="30">
        <v>45199</v>
      </c>
      <c r="W19" s="28" t="s">
        <v>464</v>
      </c>
      <c r="X19" s="28">
        <v>42.330109</v>
      </c>
      <c r="Y19" s="28">
        <v>-72.652748000000003</v>
      </c>
      <c r="Z19" s="31" t="s">
        <v>141</v>
      </c>
    </row>
    <row r="20" spans="1:26" x14ac:dyDescent="0.3">
      <c r="A20" s="22" t="s">
        <v>129</v>
      </c>
      <c r="B20" s="23">
        <v>51</v>
      </c>
      <c r="C20" s="23">
        <v>2335</v>
      </c>
      <c r="D20" s="22">
        <v>13155</v>
      </c>
      <c r="E20" s="23" t="s">
        <v>99</v>
      </c>
      <c r="F20" s="67"/>
      <c r="G20" s="67" t="s">
        <v>78</v>
      </c>
      <c r="H20" s="23" t="s">
        <v>443</v>
      </c>
      <c r="I20" s="23" t="s">
        <v>444</v>
      </c>
      <c r="J20" s="23" t="s">
        <v>28</v>
      </c>
      <c r="K20" s="23" t="s">
        <v>415</v>
      </c>
      <c r="L20" s="23"/>
      <c r="M20" s="23"/>
      <c r="N20" s="24" t="s">
        <v>128</v>
      </c>
      <c r="O20" s="24" t="s">
        <v>449</v>
      </c>
      <c r="P20" s="24" t="s">
        <v>415</v>
      </c>
      <c r="Q20" s="24" t="s">
        <v>408</v>
      </c>
      <c r="R20" s="24" t="s">
        <v>129</v>
      </c>
      <c r="S20" s="24" t="s">
        <v>415</v>
      </c>
      <c r="T20" s="24"/>
      <c r="U20" s="24"/>
      <c r="V20" s="25">
        <v>45199</v>
      </c>
      <c r="W20" s="23" t="s">
        <v>465</v>
      </c>
      <c r="X20" s="23">
        <v>42.348109999999998</v>
      </c>
      <c r="Y20" s="23">
        <v>-71.097579999999994</v>
      </c>
      <c r="Z20" s="26" t="s">
        <v>128</v>
      </c>
    </row>
    <row r="21" spans="1:26" x14ac:dyDescent="0.3">
      <c r="A21" s="27" t="s">
        <v>132</v>
      </c>
      <c r="B21" s="28">
        <v>57</v>
      </c>
      <c r="C21" s="28">
        <v>2018</v>
      </c>
      <c r="D21" s="27">
        <v>12776</v>
      </c>
      <c r="E21" s="28" t="s">
        <v>27</v>
      </c>
      <c r="F21" s="68"/>
      <c r="G21" s="68"/>
      <c r="H21" s="28" t="s">
        <v>466</v>
      </c>
      <c r="I21" s="28" t="s">
        <v>456</v>
      </c>
      <c r="J21" s="28" t="s">
        <v>33</v>
      </c>
      <c r="K21" s="28" t="s">
        <v>415</v>
      </c>
      <c r="L21" s="28"/>
      <c r="M21" s="28"/>
      <c r="N21" s="29" t="s">
        <v>131</v>
      </c>
      <c r="O21" s="29" t="s">
        <v>449</v>
      </c>
      <c r="P21" s="29" t="s">
        <v>415</v>
      </c>
      <c r="Q21" s="29" t="s">
        <v>408</v>
      </c>
      <c r="R21" s="29" t="s">
        <v>132</v>
      </c>
      <c r="S21" s="29" t="s">
        <v>409</v>
      </c>
      <c r="T21" s="29"/>
      <c r="U21" s="29"/>
      <c r="V21" s="30">
        <v>45199</v>
      </c>
      <c r="W21" s="28" t="s">
        <v>467</v>
      </c>
      <c r="X21" s="28">
        <v>42.451990000000002</v>
      </c>
      <c r="Y21" s="28">
        <v>-71.376170000000002</v>
      </c>
      <c r="Z21" s="31" t="s">
        <v>131</v>
      </c>
    </row>
    <row r="22" spans="1:26" x14ac:dyDescent="0.3">
      <c r="A22" s="22" t="s">
        <v>87</v>
      </c>
      <c r="B22" s="23">
        <v>8</v>
      </c>
      <c r="C22" s="23">
        <v>2052</v>
      </c>
      <c r="D22" s="22">
        <v>3106</v>
      </c>
      <c r="E22" s="23" t="s">
        <v>24</v>
      </c>
      <c r="F22" s="67" t="s">
        <v>78</v>
      </c>
      <c r="G22" s="67"/>
      <c r="H22" s="23" t="s">
        <v>468</v>
      </c>
      <c r="I22" s="23" t="s">
        <v>432</v>
      </c>
      <c r="J22" s="23" t="s">
        <v>35</v>
      </c>
      <c r="K22" s="23" t="s">
        <v>415</v>
      </c>
      <c r="L22" s="23"/>
      <c r="M22" s="23"/>
      <c r="N22" s="24" t="s">
        <v>85</v>
      </c>
      <c r="O22" s="24" t="s">
        <v>406</v>
      </c>
      <c r="P22" s="24" t="s">
        <v>415</v>
      </c>
      <c r="Q22" s="24" t="s">
        <v>408</v>
      </c>
      <c r="R22" s="24" t="s">
        <v>87</v>
      </c>
      <c r="S22" s="24" t="s">
        <v>415</v>
      </c>
      <c r="T22" s="24"/>
      <c r="U22" s="24"/>
      <c r="V22" s="25">
        <v>45199</v>
      </c>
      <c r="W22" s="23" t="s">
        <v>469</v>
      </c>
      <c r="X22" s="23">
        <v>42.191029999999998</v>
      </c>
      <c r="Y22" s="23">
        <v>-73.371989999999997</v>
      </c>
      <c r="Z22" s="26" t="s">
        <v>85</v>
      </c>
    </row>
    <row r="23" spans="1:26" x14ac:dyDescent="0.3">
      <c r="A23" s="27" t="s">
        <v>125</v>
      </c>
      <c r="B23" s="28">
        <v>40</v>
      </c>
      <c r="C23" s="28">
        <v>2289</v>
      </c>
      <c r="D23" s="27">
        <v>3109</v>
      </c>
      <c r="E23" s="28" t="s">
        <v>24</v>
      </c>
      <c r="F23" s="68" t="s">
        <v>78</v>
      </c>
      <c r="G23" s="68"/>
      <c r="H23" s="28" t="s">
        <v>470</v>
      </c>
      <c r="I23" s="28" t="s">
        <v>460</v>
      </c>
      <c r="J23" s="28" t="s">
        <v>23</v>
      </c>
      <c r="K23" s="28" t="s">
        <v>415</v>
      </c>
      <c r="L23" s="28"/>
      <c r="M23" s="28"/>
      <c r="N23" s="29" t="s">
        <v>123</v>
      </c>
      <c r="O23" s="29" t="s">
        <v>406</v>
      </c>
      <c r="P23" s="29" t="s">
        <v>415</v>
      </c>
      <c r="Q23" s="29" t="s">
        <v>408</v>
      </c>
      <c r="R23" s="29" t="s">
        <v>125</v>
      </c>
      <c r="S23" s="29" t="s">
        <v>415</v>
      </c>
      <c r="T23" s="29"/>
      <c r="U23" s="29"/>
      <c r="V23" s="30">
        <v>45199</v>
      </c>
      <c r="W23" s="28" t="s">
        <v>471</v>
      </c>
      <c r="X23" s="28">
        <v>41.564200999999997</v>
      </c>
      <c r="Y23" s="28">
        <v>-70.622191999999998</v>
      </c>
      <c r="Z23" s="31" t="s">
        <v>123</v>
      </c>
    </row>
    <row r="24" spans="1:26" x14ac:dyDescent="0.3">
      <c r="A24" s="73" t="s">
        <v>472</v>
      </c>
      <c r="B24" s="28">
        <v>8701</v>
      </c>
      <c r="C24" s="28">
        <v>2101</v>
      </c>
      <c r="D24" s="69">
        <v>14287</v>
      </c>
      <c r="E24" s="28" t="s">
        <v>24</v>
      </c>
      <c r="F24" s="68" t="s">
        <v>78</v>
      </c>
      <c r="G24" s="68"/>
      <c r="H24" s="28" t="s">
        <v>473</v>
      </c>
      <c r="I24" s="28" t="s">
        <v>441</v>
      </c>
      <c r="J24" s="28" t="s">
        <v>31</v>
      </c>
      <c r="K24" s="28" t="s">
        <v>404</v>
      </c>
      <c r="L24" s="28" t="s">
        <v>405</v>
      </c>
      <c r="M24" s="28"/>
      <c r="N24" s="74" t="s">
        <v>117</v>
      </c>
      <c r="O24" s="29" t="s">
        <v>406</v>
      </c>
      <c r="P24" s="29" t="s">
        <v>415</v>
      </c>
      <c r="Q24" s="29" t="s">
        <v>474</v>
      </c>
      <c r="R24" s="29" t="s">
        <v>475</v>
      </c>
      <c r="S24" s="29" t="s">
        <v>425</v>
      </c>
      <c r="T24" s="29"/>
      <c r="U24" s="29"/>
      <c r="V24" s="30">
        <v>45291</v>
      </c>
      <c r="W24" s="28" t="s">
        <v>476</v>
      </c>
      <c r="X24" s="28">
        <v>42.097799999999999</v>
      </c>
      <c r="Y24" s="28">
        <v>-71.062049999999999</v>
      </c>
      <c r="Z24" s="74" t="s">
        <v>117</v>
      </c>
    </row>
    <row r="25" spans="1:26" x14ac:dyDescent="0.3">
      <c r="A25" s="22" t="s">
        <v>198</v>
      </c>
      <c r="B25" s="23">
        <v>68</v>
      </c>
      <c r="C25" s="23">
        <v>2143</v>
      </c>
      <c r="D25" s="22">
        <v>6755</v>
      </c>
      <c r="E25" s="23" t="s">
        <v>24</v>
      </c>
      <c r="F25" s="67" t="s">
        <v>78</v>
      </c>
      <c r="G25" s="67"/>
      <c r="H25" s="23" t="s">
        <v>477</v>
      </c>
      <c r="I25" s="23" t="s">
        <v>414</v>
      </c>
      <c r="J25" s="23" t="s">
        <v>25</v>
      </c>
      <c r="K25" s="23" t="s">
        <v>415</v>
      </c>
      <c r="L25" s="23"/>
      <c r="M25" s="23"/>
      <c r="N25" s="24" t="s">
        <v>160</v>
      </c>
      <c r="O25" s="24" t="s">
        <v>406</v>
      </c>
      <c r="P25" s="24" t="s">
        <v>478</v>
      </c>
      <c r="Q25" s="24" t="s">
        <v>408</v>
      </c>
      <c r="R25" s="24" t="s">
        <v>198</v>
      </c>
      <c r="S25" s="24" t="s">
        <v>425</v>
      </c>
      <c r="T25" s="24"/>
      <c r="U25" s="24"/>
      <c r="V25" s="25">
        <v>45199</v>
      </c>
      <c r="W25" s="23" t="s">
        <v>479</v>
      </c>
      <c r="X25" s="23">
        <v>42.078609999999998</v>
      </c>
      <c r="Y25" s="23">
        <v>-72.041979999999995</v>
      </c>
      <c r="Z25" s="26" t="s">
        <v>160</v>
      </c>
    </row>
    <row r="26" spans="1:26" x14ac:dyDescent="0.3">
      <c r="A26" s="27" t="s">
        <v>199</v>
      </c>
      <c r="B26" s="28">
        <v>14496</v>
      </c>
      <c r="C26" s="28">
        <v>2034</v>
      </c>
      <c r="D26" s="27">
        <v>6755</v>
      </c>
      <c r="E26" s="28" t="s">
        <v>24</v>
      </c>
      <c r="F26" s="68" t="s">
        <v>78</v>
      </c>
      <c r="G26" s="68"/>
      <c r="H26" s="28" t="s">
        <v>480</v>
      </c>
      <c r="I26" s="28" t="s">
        <v>414</v>
      </c>
      <c r="J26" s="28" t="s">
        <v>25</v>
      </c>
      <c r="K26" s="28" t="s">
        <v>415</v>
      </c>
      <c r="L26" s="28"/>
      <c r="M26" s="28"/>
      <c r="N26" s="29" t="s">
        <v>160</v>
      </c>
      <c r="O26" s="29" t="s">
        <v>406</v>
      </c>
      <c r="P26" s="29" t="s">
        <v>415</v>
      </c>
      <c r="Q26" s="29" t="s">
        <v>408</v>
      </c>
      <c r="R26" s="29" t="s">
        <v>199</v>
      </c>
      <c r="S26" s="29" t="s">
        <v>409</v>
      </c>
      <c r="T26" s="29"/>
      <c r="U26" s="29"/>
      <c r="V26" s="30">
        <v>45199</v>
      </c>
      <c r="W26" s="28" t="s">
        <v>481</v>
      </c>
      <c r="X26" s="28">
        <v>42.540709999999997</v>
      </c>
      <c r="Y26" s="28">
        <v>-71.762500000000003</v>
      </c>
      <c r="Z26" s="31" t="s">
        <v>160</v>
      </c>
    </row>
    <row r="27" spans="1:26" x14ac:dyDescent="0.3">
      <c r="A27" s="22" t="s">
        <v>136</v>
      </c>
      <c r="B27" s="23">
        <v>73</v>
      </c>
      <c r="C27" s="23">
        <v>2036</v>
      </c>
      <c r="D27" s="22">
        <v>12807</v>
      </c>
      <c r="E27" s="23" t="s">
        <v>24</v>
      </c>
      <c r="F27" s="67" t="s">
        <v>78</v>
      </c>
      <c r="G27" s="67"/>
      <c r="H27" s="23" t="s">
        <v>482</v>
      </c>
      <c r="I27" s="23" t="s">
        <v>414</v>
      </c>
      <c r="J27" s="23" t="s">
        <v>25</v>
      </c>
      <c r="K27" s="23" t="s">
        <v>415</v>
      </c>
      <c r="L27" s="23"/>
      <c r="M27" s="23"/>
      <c r="N27" s="24" t="s">
        <v>134</v>
      </c>
      <c r="O27" s="24" t="s">
        <v>406</v>
      </c>
      <c r="P27" s="24" t="s">
        <v>415</v>
      </c>
      <c r="Q27" s="24" t="s">
        <v>408</v>
      </c>
      <c r="R27" s="24" t="s">
        <v>136</v>
      </c>
      <c r="S27" s="24" t="s">
        <v>409</v>
      </c>
      <c r="T27" s="24"/>
      <c r="U27" s="24" t="s">
        <v>410</v>
      </c>
      <c r="V27" s="25">
        <v>45199</v>
      </c>
      <c r="W27" s="23" t="s">
        <v>483</v>
      </c>
      <c r="X27" s="23">
        <v>42.586578000000003</v>
      </c>
      <c r="Y27" s="23">
        <v>-71.987258999999995</v>
      </c>
      <c r="Z27" s="26" t="s">
        <v>134</v>
      </c>
    </row>
    <row r="28" spans="1:26" x14ac:dyDescent="0.3">
      <c r="A28" s="69" t="s">
        <v>176</v>
      </c>
      <c r="B28" s="28">
        <v>75</v>
      </c>
      <c r="C28" s="28">
        <v>2225</v>
      </c>
      <c r="D28" s="69">
        <v>13156</v>
      </c>
      <c r="E28" s="28" t="s">
        <v>24</v>
      </c>
      <c r="F28" s="68" t="s">
        <v>78</v>
      </c>
      <c r="G28" s="68"/>
      <c r="H28" s="28" t="s">
        <v>484</v>
      </c>
      <c r="I28" s="28" t="s">
        <v>403</v>
      </c>
      <c r="J28" s="28" t="s">
        <v>33</v>
      </c>
      <c r="K28" s="28" t="s">
        <v>415</v>
      </c>
      <c r="L28" s="28"/>
      <c r="M28" s="28"/>
      <c r="N28" s="75" t="s">
        <v>138</v>
      </c>
      <c r="O28" s="29" t="s">
        <v>406</v>
      </c>
      <c r="P28" s="29" t="s">
        <v>415</v>
      </c>
      <c r="Q28" s="29" t="s">
        <v>474</v>
      </c>
      <c r="R28" s="29" t="s">
        <v>485</v>
      </c>
      <c r="S28" s="29" t="s">
        <v>409</v>
      </c>
      <c r="T28" s="29"/>
      <c r="U28" s="29"/>
      <c r="V28" s="30">
        <v>45291</v>
      </c>
      <c r="W28" s="28" t="s">
        <v>486</v>
      </c>
      <c r="X28" s="28">
        <v>42.727519999999998</v>
      </c>
      <c r="Y28" s="28">
        <v>-71.167910000000006</v>
      </c>
      <c r="Z28" s="76" t="s">
        <v>138</v>
      </c>
    </row>
    <row r="29" spans="1:26" x14ac:dyDescent="0.3">
      <c r="A29" s="22" t="s">
        <v>205</v>
      </c>
      <c r="B29" s="23">
        <v>77</v>
      </c>
      <c r="C29" s="23">
        <v>2145</v>
      </c>
      <c r="D29" s="22">
        <v>12767</v>
      </c>
      <c r="E29" s="23" t="s">
        <v>24</v>
      </c>
      <c r="F29" s="67" t="s">
        <v>78</v>
      </c>
      <c r="G29" s="67"/>
      <c r="H29" s="23" t="s">
        <v>487</v>
      </c>
      <c r="I29" s="23" t="s">
        <v>421</v>
      </c>
      <c r="J29" s="23" t="s">
        <v>35</v>
      </c>
      <c r="K29" s="23" t="s">
        <v>415</v>
      </c>
      <c r="L29" s="23"/>
      <c r="M29" s="23"/>
      <c r="N29" s="24" t="s">
        <v>204</v>
      </c>
      <c r="O29" s="24" t="s">
        <v>449</v>
      </c>
      <c r="P29" s="24" t="s">
        <v>415</v>
      </c>
      <c r="Q29" s="24" t="s">
        <v>408</v>
      </c>
      <c r="R29" s="24" t="s">
        <v>205</v>
      </c>
      <c r="S29" s="24" t="s">
        <v>425</v>
      </c>
      <c r="T29" s="24"/>
      <c r="U29" s="24"/>
      <c r="V29" s="25">
        <v>45199</v>
      </c>
      <c r="W29" s="23" t="s">
        <v>488</v>
      </c>
      <c r="X29" s="23">
        <v>42.200291</v>
      </c>
      <c r="Y29" s="23">
        <v>-72.627898999999999</v>
      </c>
      <c r="Z29" s="26" t="s">
        <v>204</v>
      </c>
    </row>
    <row r="30" spans="1:26" x14ac:dyDescent="0.3">
      <c r="A30" s="27" t="s">
        <v>96</v>
      </c>
      <c r="B30" s="28">
        <v>6546</v>
      </c>
      <c r="C30" s="28">
        <v>2033</v>
      </c>
      <c r="D30" s="27">
        <v>16665</v>
      </c>
      <c r="E30" s="28" t="s">
        <v>30</v>
      </c>
      <c r="F30" s="68"/>
      <c r="G30" s="68" t="s">
        <v>78</v>
      </c>
      <c r="H30" s="28" t="s">
        <v>489</v>
      </c>
      <c r="I30" s="28" t="s">
        <v>456</v>
      </c>
      <c r="J30" s="28" t="s">
        <v>33</v>
      </c>
      <c r="K30" s="28" t="s">
        <v>445</v>
      </c>
      <c r="L30" s="28" t="s">
        <v>423</v>
      </c>
      <c r="M30" s="28"/>
      <c r="N30" s="29" t="s">
        <v>90</v>
      </c>
      <c r="O30" s="29" t="s">
        <v>406</v>
      </c>
      <c r="P30" s="29" t="s">
        <v>407</v>
      </c>
      <c r="Q30" s="29" t="s">
        <v>408</v>
      </c>
      <c r="R30" s="29" t="s">
        <v>96</v>
      </c>
      <c r="S30" s="29" t="s">
        <v>409</v>
      </c>
      <c r="T30" s="29"/>
      <c r="U30" s="29" t="s">
        <v>410</v>
      </c>
      <c r="V30" s="30">
        <v>45199</v>
      </c>
      <c r="W30" s="28" t="s">
        <v>490</v>
      </c>
      <c r="X30" s="28">
        <v>42.484901000000001</v>
      </c>
      <c r="Y30" s="28">
        <v>-71.205566000000005</v>
      </c>
      <c r="Z30" s="31" t="s">
        <v>90</v>
      </c>
    </row>
    <row r="31" spans="1:26" x14ac:dyDescent="0.3">
      <c r="A31" s="69" t="s">
        <v>139</v>
      </c>
      <c r="B31" s="23">
        <v>83</v>
      </c>
      <c r="C31" s="23">
        <v>2099</v>
      </c>
      <c r="D31" s="22">
        <v>13156</v>
      </c>
      <c r="E31" s="23" t="s">
        <v>24</v>
      </c>
      <c r="F31" s="67" t="s">
        <v>78</v>
      </c>
      <c r="G31" s="67"/>
      <c r="H31" s="23" t="s">
        <v>491</v>
      </c>
      <c r="I31" s="23" t="s">
        <v>403</v>
      </c>
      <c r="J31" s="23" t="s">
        <v>33</v>
      </c>
      <c r="K31" s="23" t="s">
        <v>404</v>
      </c>
      <c r="L31" s="23" t="s">
        <v>405</v>
      </c>
      <c r="M31" s="23"/>
      <c r="N31" s="24" t="s">
        <v>138</v>
      </c>
      <c r="O31" s="71" t="s">
        <v>406</v>
      </c>
      <c r="P31" s="24" t="s">
        <v>415</v>
      </c>
      <c r="Q31" s="24" t="s">
        <v>408</v>
      </c>
      <c r="R31" s="24" t="s">
        <v>139</v>
      </c>
      <c r="S31" s="24" t="s">
        <v>425</v>
      </c>
      <c r="T31" s="24" t="s">
        <v>410</v>
      </c>
      <c r="U31" s="24" t="s">
        <v>410</v>
      </c>
      <c r="V31" s="25">
        <v>45199</v>
      </c>
      <c r="W31" s="23" t="s">
        <v>492</v>
      </c>
      <c r="X31" s="23">
        <v>42.709969000000001</v>
      </c>
      <c r="Y31" s="23">
        <v>-71.150290999999996</v>
      </c>
      <c r="Z31" s="26" t="s">
        <v>138</v>
      </c>
    </row>
    <row r="32" spans="1:26" x14ac:dyDescent="0.3">
      <c r="A32" s="27" t="s">
        <v>191</v>
      </c>
      <c r="B32" s="28">
        <v>85</v>
      </c>
      <c r="C32" s="28">
        <v>2040</v>
      </c>
      <c r="D32" s="27">
        <v>12775</v>
      </c>
      <c r="E32" s="28" t="s">
        <v>24</v>
      </c>
      <c r="F32" s="68" t="s">
        <v>78</v>
      </c>
      <c r="G32" s="68"/>
      <c r="H32" s="28" t="s">
        <v>493</v>
      </c>
      <c r="I32" s="28" t="s">
        <v>456</v>
      </c>
      <c r="J32" s="28" t="s">
        <v>33</v>
      </c>
      <c r="K32" s="28" t="s">
        <v>404</v>
      </c>
      <c r="L32" s="28" t="s">
        <v>405</v>
      </c>
      <c r="M32" s="28"/>
      <c r="N32" s="29" t="s">
        <v>190</v>
      </c>
      <c r="O32" s="29" t="s">
        <v>406</v>
      </c>
      <c r="P32" s="29" t="s">
        <v>415</v>
      </c>
      <c r="Q32" s="29" t="s">
        <v>408</v>
      </c>
      <c r="R32" s="29" t="s">
        <v>191</v>
      </c>
      <c r="S32" s="29" t="s">
        <v>425</v>
      </c>
      <c r="T32" s="29"/>
      <c r="U32" s="29"/>
      <c r="V32" s="30">
        <v>45199</v>
      </c>
      <c r="W32" s="28" t="s">
        <v>494</v>
      </c>
      <c r="X32" s="28">
        <v>42.647269999999999</v>
      </c>
      <c r="Y32" s="28">
        <v>-71.341742999999994</v>
      </c>
      <c r="Z32" s="31" t="s">
        <v>190</v>
      </c>
    </row>
    <row r="33" spans="1:26" x14ac:dyDescent="0.3">
      <c r="A33" s="22" t="s">
        <v>200</v>
      </c>
      <c r="B33" s="23">
        <v>133</v>
      </c>
      <c r="C33" s="23">
        <v>2103</v>
      </c>
      <c r="D33" s="22">
        <v>6755</v>
      </c>
      <c r="E33" s="23" t="s">
        <v>24</v>
      </c>
      <c r="F33" s="67" t="s">
        <v>78</v>
      </c>
      <c r="G33" s="67"/>
      <c r="H33" s="23" t="s">
        <v>495</v>
      </c>
      <c r="I33" s="23" t="s">
        <v>456</v>
      </c>
      <c r="J33" s="23" t="s">
        <v>32</v>
      </c>
      <c r="K33" s="23" t="s">
        <v>415</v>
      </c>
      <c r="L33" s="23"/>
      <c r="M33" s="23"/>
      <c r="N33" s="24" t="s">
        <v>160</v>
      </c>
      <c r="O33" s="24" t="s">
        <v>406</v>
      </c>
      <c r="P33" s="24" t="s">
        <v>415</v>
      </c>
      <c r="Q33" s="24" t="s">
        <v>408</v>
      </c>
      <c r="R33" s="24" t="s">
        <v>200</v>
      </c>
      <c r="S33" s="24" t="s">
        <v>409</v>
      </c>
      <c r="T33" s="24" t="s">
        <v>410</v>
      </c>
      <c r="U33" s="24"/>
      <c r="V33" s="25">
        <v>45199</v>
      </c>
      <c r="W33" s="23" t="s">
        <v>496</v>
      </c>
      <c r="X33" s="23">
        <v>42.355128999999998</v>
      </c>
      <c r="Y33" s="23">
        <v>-71.554771000000002</v>
      </c>
      <c r="Z33" s="26" t="s">
        <v>160</v>
      </c>
    </row>
    <row r="34" spans="1:26" x14ac:dyDescent="0.3">
      <c r="A34" s="73" t="s">
        <v>145</v>
      </c>
      <c r="B34" s="28">
        <v>88</v>
      </c>
      <c r="C34" s="28">
        <v>2042</v>
      </c>
      <c r="D34" s="27">
        <v>3791</v>
      </c>
      <c r="E34" s="72" t="s">
        <v>24</v>
      </c>
      <c r="F34" s="68"/>
      <c r="G34" s="68"/>
      <c r="H34" s="28" t="s">
        <v>497</v>
      </c>
      <c r="I34" s="28" t="s">
        <v>498</v>
      </c>
      <c r="J34" s="28" t="s">
        <v>23</v>
      </c>
      <c r="K34" s="28" t="s">
        <v>415</v>
      </c>
      <c r="L34" s="28"/>
      <c r="M34" s="28"/>
      <c r="N34" s="29" t="s">
        <v>141</v>
      </c>
      <c r="O34" s="29" t="s">
        <v>406</v>
      </c>
      <c r="P34" s="29" t="s">
        <v>415</v>
      </c>
      <c r="Q34" s="29" t="s">
        <v>408</v>
      </c>
      <c r="R34" s="29" t="s">
        <v>145</v>
      </c>
      <c r="S34" s="29" t="s">
        <v>415</v>
      </c>
      <c r="T34" s="29"/>
      <c r="U34" s="29" t="s">
        <v>410</v>
      </c>
      <c r="V34" s="30">
        <v>45199</v>
      </c>
      <c r="W34" s="28" t="s">
        <v>499</v>
      </c>
      <c r="X34" s="28">
        <v>41.460258000000003</v>
      </c>
      <c r="Y34" s="28">
        <v>-70.583038000000002</v>
      </c>
      <c r="Z34" s="31" t="s">
        <v>141</v>
      </c>
    </row>
    <row r="35" spans="1:26" x14ac:dyDescent="0.3">
      <c r="A35" s="22" t="s">
        <v>146</v>
      </c>
      <c r="B35" s="23">
        <v>89</v>
      </c>
      <c r="C35" s="23">
        <v>2167</v>
      </c>
      <c r="D35" s="22">
        <v>3791</v>
      </c>
      <c r="E35" s="23" t="s">
        <v>99</v>
      </c>
      <c r="F35" s="67"/>
      <c r="G35" s="67" t="s">
        <v>78</v>
      </c>
      <c r="H35" s="23" t="s">
        <v>443</v>
      </c>
      <c r="I35" s="23" t="s">
        <v>444</v>
      </c>
      <c r="J35" s="23" t="s">
        <v>28</v>
      </c>
      <c r="K35" s="23" t="s">
        <v>415</v>
      </c>
      <c r="L35" s="23"/>
      <c r="M35" s="23"/>
      <c r="N35" s="24" t="s">
        <v>141</v>
      </c>
      <c r="O35" s="24" t="s">
        <v>406</v>
      </c>
      <c r="P35" s="24" t="s">
        <v>500</v>
      </c>
      <c r="Q35" s="24" t="s">
        <v>408</v>
      </c>
      <c r="R35" s="24" t="s">
        <v>146</v>
      </c>
      <c r="S35" s="24" t="s">
        <v>409</v>
      </c>
      <c r="T35" s="24"/>
      <c r="U35" s="24" t="s">
        <v>410</v>
      </c>
      <c r="V35" s="25">
        <v>45199</v>
      </c>
      <c r="W35" s="23" t="s">
        <v>501</v>
      </c>
      <c r="X35" s="23">
        <v>42.362758999999997</v>
      </c>
      <c r="Y35" s="23">
        <v>-71.070137000000003</v>
      </c>
      <c r="Z35" s="26" t="s">
        <v>141</v>
      </c>
    </row>
    <row r="36" spans="1:26" x14ac:dyDescent="0.3">
      <c r="A36" s="27" t="s">
        <v>147</v>
      </c>
      <c r="B36" s="28">
        <v>91</v>
      </c>
      <c r="C36" s="28">
        <v>2168</v>
      </c>
      <c r="D36" s="27">
        <v>3791</v>
      </c>
      <c r="E36" s="28" t="s">
        <v>22</v>
      </c>
      <c r="F36" s="68"/>
      <c r="G36" s="68" t="s">
        <v>78</v>
      </c>
      <c r="H36" s="28" t="s">
        <v>443</v>
      </c>
      <c r="I36" s="28" t="s">
        <v>444</v>
      </c>
      <c r="J36" s="28" t="s">
        <v>28</v>
      </c>
      <c r="K36" s="28" t="s">
        <v>451</v>
      </c>
      <c r="L36" s="28" t="s">
        <v>423</v>
      </c>
      <c r="M36" s="28" t="s">
        <v>448</v>
      </c>
      <c r="N36" s="29" t="s">
        <v>141</v>
      </c>
      <c r="O36" s="29" t="s">
        <v>406</v>
      </c>
      <c r="P36" s="29" t="s">
        <v>415</v>
      </c>
      <c r="Q36" s="29" t="s">
        <v>408</v>
      </c>
      <c r="R36" s="29" t="s">
        <v>147</v>
      </c>
      <c r="S36" s="29" t="s">
        <v>433</v>
      </c>
      <c r="T36" s="29"/>
      <c r="U36" s="29"/>
      <c r="V36" s="30">
        <v>45199</v>
      </c>
      <c r="W36" s="28" t="s">
        <v>502</v>
      </c>
      <c r="X36" s="28">
        <v>42.363154999999999</v>
      </c>
      <c r="Y36" s="28">
        <v>-71.068832</v>
      </c>
      <c r="Z36" s="31" t="s">
        <v>141</v>
      </c>
    </row>
    <row r="37" spans="1:26" x14ac:dyDescent="0.3">
      <c r="A37" s="69" t="s">
        <v>503</v>
      </c>
      <c r="B37" s="23">
        <v>3111</v>
      </c>
      <c r="C37" s="23">
        <v>2038</v>
      </c>
      <c r="D37" s="22">
        <v>12775</v>
      </c>
      <c r="E37" s="23" t="s">
        <v>24</v>
      </c>
      <c r="F37" s="67" t="s">
        <v>78</v>
      </c>
      <c r="G37" s="67"/>
      <c r="H37" s="23" t="s">
        <v>504</v>
      </c>
      <c r="I37" s="23" t="s">
        <v>456</v>
      </c>
      <c r="J37" s="23" t="s">
        <v>28</v>
      </c>
      <c r="K37" s="23" t="s">
        <v>404</v>
      </c>
      <c r="L37" s="70" t="s">
        <v>405</v>
      </c>
      <c r="M37" s="23"/>
      <c r="N37" s="24" t="s">
        <v>190</v>
      </c>
      <c r="O37" s="24" t="s">
        <v>406</v>
      </c>
      <c r="P37" s="24" t="s">
        <v>415</v>
      </c>
      <c r="Q37" s="24" t="s">
        <v>408</v>
      </c>
      <c r="R37" s="24" t="s">
        <v>505</v>
      </c>
      <c r="S37" s="24" t="s">
        <v>409</v>
      </c>
      <c r="T37" s="24"/>
      <c r="U37" s="24"/>
      <c r="V37" s="25">
        <v>45199</v>
      </c>
      <c r="W37" s="23" t="s">
        <v>506</v>
      </c>
      <c r="X37" s="23">
        <v>42.459961</v>
      </c>
      <c r="Y37" s="23">
        <v>-71.061233999999999</v>
      </c>
      <c r="Z37" s="26" t="s">
        <v>190</v>
      </c>
    </row>
    <row r="38" spans="1:26" x14ac:dyDescent="0.3">
      <c r="A38" s="27" t="s">
        <v>184</v>
      </c>
      <c r="B38" s="28">
        <v>6547</v>
      </c>
      <c r="C38" s="28">
        <v>2149</v>
      </c>
      <c r="D38" s="27">
        <v>14288</v>
      </c>
      <c r="E38" s="28" t="s">
        <v>24</v>
      </c>
      <c r="F38" s="68" t="s">
        <v>78</v>
      </c>
      <c r="G38" s="68"/>
      <c r="H38" s="28" t="s">
        <v>420</v>
      </c>
      <c r="I38" s="28" t="s">
        <v>421</v>
      </c>
      <c r="J38" s="28" t="s">
        <v>35</v>
      </c>
      <c r="K38" s="28" t="s">
        <v>415</v>
      </c>
      <c r="L38" s="28"/>
      <c r="M38" s="28"/>
      <c r="N38" s="29" t="s">
        <v>183</v>
      </c>
      <c r="O38" s="29" t="s">
        <v>449</v>
      </c>
      <c r="P38" s="29" t="s">
        <v>415</v>
      </c>
      <c r="Q38" s="29" t="s">
        <v>408</v>
      </c>
      <c r="R38" s="29" t="s">
        <v>184</v>
      </c>
      <c r="S38" s="29" t="s">
        <v>425</v>
      </c>
      <c r="T38" s="29"/>
      <c r="U38" s="29"/>
      <c r="V38" s="30">
        <v>45107</v>
      </c>
      <c r="W38" s="28" t="s">
        <v>507</v>
      </c>
      <c r="X38" s="28">
        <v>42.123519999999999</v>
      </c>
      <c r="Y38" s="28">
        <v>-72.586662000000004</v>
      </c>
      <c r="Z38" s="31" t="s">
        <v>183</v>
      </c>
    </row>
    <row r="39" spans="1:26" x14ac:dyDescent="0.3">
      <c r="A39" s="22" t="s">
        <v>508</v>
      </c>
      <c r="B39" s="23">
        <v>3110</v>
      </c>
      <c r="C39" s="23">
        <v>2020</v>
      </c>
      <c r="D39" s="22">
        <v>3888</v>
      </c>
      <c r="E39" s="23" t="s">
        <v>24</v>
      </c>
      <c r="F39" s="67" t="s">
        <v>78</v>
      </c>
      <c r="G39" s="67"/>
      <c r="H39" s="23" t="s">
        <v>509</v>
      </c>
      <c r="I39" s="23" t="s">
        <v>456</v>
      </c>
      <c r="J39" s="23" t="s">
        <v>32</v>
      </c>
      <c r="K39" s="23" t="s">
        <v>415</v>
      </c>
      <c r="L39" s="23"/>
      <c r="M39" s="23"/>
      <c r="N39" s="24" t="s">
        <v>510</v>
      </c>
      <c r="O39" s="24" t="s">
        <v>406</v>
      </c>
      <c r="P39" s="24" t="s">
        <v>415</v>
      </c>
      <c r="Q39" s="24" t="s">
        <v>474</v>
      </c>
      <c r="R39" s="24" t="s">
        <v>508</v>
      </c>
      <c r="S39" s="24" t="s">
        <v>409</v>
      </c>
      <c r="T39" s="24"/>
      <c r="U39" s="24"/>
      <c r="V39" s="25">
        <v>45291</v>
      </c>
      <c r="W39" s="23" t="s">
        <v>511</v>
      </c>
      <c r="X39" s="23">
        <v>42.284889</v>
      </c>
      <c r="Y39" s="23">
        <v>-71.419196999999997</v>
      </c>
      <c r="Z39" s="26" t="s">
        <v>510</v>
      </c>
    </row>
    <row r="40" spans="1:26" x14ac:dyDescent="0.3">
      <c r="A40" s="73" t="s">
        <v>159</v>
      </c>
      <c r="B40" s="28">
        <v>97</v>
      </c>
      <c r="C40" s="28">
        <v>2105</v>
      </c>
      <c r="D40" s="73">
        <v>6755</v>
      </c>
      <c r="E40" s="28" t="s">
        <v>27</v>
      </c>
      <c r="F40" s="68"/>
      <c r="G40" s="68"/>
      <c r="H40" s="28" t="s">
        <v>512</v>
      </c>
      <c r="I40" s="28" t="s">
        <v>414</v>
      </c>
      <c r="J40" s="28" t="s">
        <v>32</v>
      </c>
      <c r="K40" s="28" t="s">
        <v>415</v>
      </c>
      <c r="L40" s="28"/>
      <c r="M40" s="28"/>
      <c r="N40" s="75" t="s">
        <v>160</v>
      </c>
      <c r="O40" s="75" t="s">
        <v>406</v>
      </c>
      <c r="P40" s="29" t="s">
        <v>415</v>
      </c>
      <c r="Q40" s="29" t="s">
        <v>408</v>
      </c>
      <c r="R40" s="29" t="s">
        <v>159</v>
      </c>
      <c r="S40" s="29" t="s">
        <v>409</v>
      </c>
      <c r="T40" s="29" t="s">
        <v>410</v>
      </c>
      <c r="U40" s="29"/>
      <c r="V40" s="30">
        <v>45199</v>
      </c>
      <c r="W40" s="28" t="s">
        <v>513</v>
      </c>
      <c r="X40" s="28">
        <v>42.133330999999998</v>
      </c>
      <c r="Y40" s="28">
        <v>-71.528319999999994</v>
      </c>
      <c r="Z40" s="76" t="s">
        <v>160</v>
      </c>
    </row>
    <row r="41" spans="1:26" x14ac:dyDescent="0.3">
      <c r="A41" s="69" t="s">
        <v>514</v>
      </c>
      <c r="B41" s="23">
        <v>99</v>
      </c>
      <c r="C41" s="23">
        <v>2022</v>
      </c>
      <c r="D41" s="69">
        <v>22350</v>
      </c>
      <c r="E41" s="23" t="s">
        <v>24</v>
      </c>
      <c r="F41" s="67" t="s">
        <v>78</v>
      </c>
      <c r="G41" s="67"/>
      <c r="H41" s="23" t="s">
        <v>515</v>
      </c>
      <c r="I41" s="23" t="s">
        <v>516</v>
      </c>
      <c r="J41" s="23" t="s">
        <v>31</v>
      </c>
      <c r="K41" s="23" t="s">
        <v>415</v>
      </c>
      <c r="L41" s="23"/>
      <c r="M41" s="23"/>
      <c r="N41" s="71" t="s">
        <v>174</v>
      </c>
      <c r="O41" s="24" t="s">
        <v>406</v>
      </c>
      <c r="P41" s="24" t="s">
        <v>415</v>
      </c>
      <c r="Q41" s="24" t="s">
        <v>474</v>
      </c>
      <c r="R41" s="24" t="s">
        <v>514</v>
      </c>
      <c r="S41" s="24" t="s">
        <v>425</v>
      </c>
      <c r="T41" s="24"/>
      <c r="U41" s="24"/>
      <c r="V41" s="25">
        <v>45291</v>
      </c>
      <c r="W41" s="23" t="s">
        <v>517</v>
      </c>
      <c r="X41" s="23">
        <v>41.905819000000001</v>
      </c>
      <c r="Y41" s="23">
        <v>-71.095153999999994</v>
      </c>
      <c r="Z41" s="74" t="s">
        <v>174</v>
      </c>
    </row>
    <row r="42" spans="1:26" x14ac:dyDescent="0.3">
      <c r="A42" s="27" t="s">
        <v>97</v>
      </c>
      <c r="B42" s="28">
        <v>100</v>
      </c>
      <c r="C42" s="28">
        <v>2071</v>
      </c>
      <c r="D42" s="27">
        <v>16665</v>
      </c>
      <c r="E42" s="28" t="s">
        <v>30</v>
      </c>
      <c r="F42" s="68"/>
      <c r="G42" s="68"/>
      <c r="H42" s="28" t="s">
        <v>518</v>
      </c>
      <c r="I42" s="28" t="s">
        <v>456</v>
      </c>
      <c r="J42" s="28" t="s">
        <v>28</v>
      </c>
      <c r="K42" s="28" t="s">
        <v>415</v>
      </c>
      <c r="L42" s="28"/>
      <c r="M42" s="28"/>
      <c r="N42" s="29" t="s">
        <v>90</v>
      </c>
      <c r="O42" s="29" t="s">
        <v>406</v>
      </c>
      <c r="P42" s="29" t="s">
        <v>415</v>
      </c>
      <c r="Q42" s="29" t="s">
        <v>408</v>
      </c>
      <c r="R42" s="29" t="s">
        <v>97</v>
      </c>
      <c r="S42" s="29" t="s">
        <v>409</v>
      </c>
      <c r="T42" s="29"/>
      <c r="U42" s="29" t="s">
        <v>410</v>
      </c>
      <c r="V42" s="30">
        <v>45199</v>
      </c>
      <c r="W42" s="28" t="s">
        <v>519</v>
      </c>
      <c r="X42" s="28">
        <v>42.373900999999996</v>
      </c>
      <c r="Y42" s="28">
        <v>-71.134238999999994</v>
      </c>
      <c r="Z42" s="31" t="s">
        <v>90</v>
      </c>
    </row>
    <row r="43" spans="1:26" x14ac:dyDescent="0.3">
      <c r="A43" s="22" t="s">
        <v>148</v>
      </c>
      <c r="B43" s="23">
        <v>101</v>
      </c>
      <c r="C43" s="23">
        <v>2044</v>
      </c>
      <c r="D43" s="22">
        <v>3791</v>
      </c>
      <c r="E43" s="23" t="s">
        <v>27</v>
      </c>
      <c r="F43" s="67"/>
      <c r="G43" s="67"/>
      <c r="H43" s="23" t="s">
        <v>520</v>
      </c>
      <c r="I43" s="23" t="s">
        <v>521</v>
      </c>
      <c r="J43" s="23" t="s">
        <v>23</v>
      </c>
      <c r="K43" s="23" t="s">
        <v>415</v>
      </c>
      <c r="L43" s="23"/>
      <c r="M43" s="23"/>
      <c r="N43" s="24" t="s">
        <v>141</v>
      </c>
      <c r="O43" s="24" t="s">
        <v>406</v>
      </c>
      <c r="P43" s="24" t="s">
        <v>415</v>
      </c>
      <c r="Q43" s="24" t="s">
        <v>408</v>
      </c>
      <c r="R43" s="24" t="s">
        <v>148</v>
      </c>
      <c r="S43" s="24" t="s">
        <v>415</v>
      </c>
      <c r="T43" s="24"/>
      <c r="U43" s="24"/>
      <c r="V43" s="25">
        <v>45199</v>
      </c>
      <c r="W43" s="23" t="s">
        <v>522</v>
      </c>
      <c r="X43" s="23">
        <v>41.275168999999998</v>
      </c>
      <c r="Y43" s="23">
        <v>-70.100837999999996</v>
      </c>
      <c r="Z43" s="26" t="s">
        <v>141</v>
      </c>
    </row>
    <row r="44" spans="1:26" x14ac:dyDescent="0.3">
      <c r="A44" s="27" t="s">
        <v>98</v>
      </c>
      <c r="B44" s="28">
        <v>103</v>
      </c>
      <c r="C44" s="28">
        <v>2059</v>
      </c>
      <c r="D44" s="27">
        <v>16665</v>
      </c>
      <c r="E44" s="28" t="s">
        <v>99</v>
      </c>
      <c r="F44" s="68"/>
      <c r="G44" s="68"/>
      <c r="H44" s="28" t="s">
        <v>443</v>
      </c>
      <c r="I44" s="28" t="s">
        <v>444</v>
      </c>
      <c r="J44" s="28" t="s">
        <v>28</v>
      </c>
      <c r="K44" s="28" t="s">
        <v>415</v>
      </c>
      <c r="L44" s="28"/>
      <c r="M44" s="28"/>
      <c r="N44" s="29" t="s">
        <v>90</v>
      </c>
      <c r="O44" s="29" t="s">
        <v>406</v>
      </c>
      <c r="P44" s="29" t="s">
        <v>407</v>
      </c>
      <c r="Q44" s="29" t="s">
        <v>408</v>
      </c>
      <c r="R44" s="29" t="s">
        <v>98</v>
      </c>
      <c r="S44" s="29" t="s">
        <v>409</v>
      </c>
      <c r="T44" s="29"/>
      <c r="U44" s="29"/>
      <c r="V44" s="30">
        <v>45199</v>
      </c>
      <c r="W44" s="28" t="s">
        <v>523</v>
      </c>
      <c r="X44" s="28">
        <v>42.329762000000002</v>
      </c>
      <c r="Y44" s="28">
        <v>-71.106728000000004</v>
      </c>
      <c r="Z44" s="31" t="s">
        <v>90</v>
      </c>
    </row>
    <row r="45" spans="1:26" x14ac:dyDescent="0.3">
      <c r="A45" s="22" t="s">
        <v>149</v>
      </c>
      <c r="B45" s="23">
        <v>105</v>
      </c>
      <c r="C45" s="23">
        <v>2075</v>
      </c>
      <c r="D45" s="22">
        <v>3791</v>
      </c>
      <c r="E45" s="23" t="s">
        <v>27</v>
      </c>
      <c r="F45" s="67"/>
      <c r="G45" s="67"/>
      <c r="H45" s="23" t="s">
        <v>524</v>
      </c>
      <c r="I45" s="23" t="s">
        <v>456</v>
      </c>
      <c r="J45" s="23" t="s">
        <v>28</v>
      </c>
      <c r="K45" s="23" t="s">
        <v>415</v>
      </c>
      <c r="L45" s="23"/>
      <c r="M45" s="23"/>
      <c r="N45" s="24" t="s">
        <v>141</v>
      </c>
      <c r="O45" s="24" t="s">
        <v>406</v>
      </c>
      <c r="P45" s="24" t="s">
        <v>415</v>
      </c>
      <c r="Q45" s="24" t="s">
        <v>408</v>
      </c>
      <c r="R45" s="24" t="s">
        <v>149</v>
      </c>
      <c r="S45" s="24" t="s">
        <v>409</v>
      </c>
      <c r="T45" s="24"/>
      <c r="U45" s="24"/>
      <c r="V45" s="25">
        <v>45199</v>
      </c>
      <c r="W45" s="23" t="s">
        <v>525</v>
      </c>
      <c r="X45" s="23">
        <v>42.331401999999997</v>
      </c>
      <c r="Y45" s="23">
        <v>-71.246063000000007</v>
      </c>
      <c r="Z45" s="26" t="s">
        <v>141</v>
      </c>
    </row>
    <row r="46" spans="1:26" x14ac:dyDescent="0.3">
      <c r="A46" s="69" t="s">
        <v>207</v>
      </c>
      <c r="B46" s="70">
        <v>21965</v>
      </c>
      <c r="C46" s="70"/>
      <c r="D46" s="69">
        <v>3106</v>
      </c>
      <c r="E46" s="70" t="s">
        <v>24</v>
      </c>
      <c r="F46" s="68"/>
      <c r="G46" s="68"/>
      <c r="H46" s="70" t="s">
        <v>526</v>
      </c>
      <c r="I46" s="70" t="s">
        <v>432</v>
      </c>
      <c r="J46" s="70" t="s">
        <v>35</v>
      </c>
      <c r="K46" s="70" t="s">
        <v>415</v>
      </c>
      <c r="L46" s="70"/>
      <c r="M46" s="70"/>
      <c r="N46" s="71" t="s">
        <v>85</v>
      </c>
      <c r="O46" s="71" t="s">
        <v>406</v>
      </c>
      <c r="P46" s="71" t="s">
        <v>527</v>
      </c>
      <c r="Q46" s="71" t="s">
        <v>408</v>
      </c>
      <c r="R46" s="71" t="s">
        <v>528</v>
      </c>
      <c r="S46" s="71"/>
      <c r="T46" s="71"/>
      <c r="U46" s="71"/>
      <c r="V46" s="77">
        <v>45199</v>
      </c>
      <c r="W46" s="70" t="s">
        <v>529</v>
      </c>
      <c r="X46" s="70"/>
      <c r="Y46" s="70"/>
      <c r="Z46" s="74" t="s">
        <v>85</v>
      </c>
    </row>
    <row r="47" spans="1:26" x14ac:dyDescent="0.3">
      <c r="A47" s="22" t="s">
        <v>150</v>
      </c>
      <c r="B47" s="23">
        <v>345</v>
      </c>
      <c r="C47" s="23">
        <v>2073</v>
      </c>
      <c r="D47" s="22">
        <v>3791</v>
      </c>
      <c r="E47" s="23" t="s">
        <v>24</v>
      </c>
      <c r="F47" s="67" t="s">
        <v>78</v>
      </c>
      <c r="G47" s="67"/>
      <c r="H47" s="23" t="s">
        <v>530</v>
      </c>
      <c r="I47" s="23" t="s">
        <v>403</v>
      </c>
      <c r="J47" s="23" t="s">
        <v>33</v>
      </c>
      <c r="K47" s="23" t="s">
        <v>404</v>
      </c>
      <c r="L47" s="23" t="s">
        <v>405</v>
      </c>
      <c r="M47" s="23"/>
      <c r="N47" s="24" t="s">
        <v>141</v>
      </c>
      <c r="O47" s="24" t="s">
        <v>406</v>
      </c>
      <c r="P47" s="24" t="s">
        <v>415</v>
      </c>
      <c r="Q47" s="24" t="s">
        <v>408</v>
      </c>
      <c r="R47" s="24" t="s">
        <v>150</v>
      </c>
      <c r="S47" s="24" t="s">
        <v>425</v>
      </c>
      <c r="T47" s="24"/>
      <c r="U47" s="24"/>
      <c r="V47" s="25">
        <v>45199</v>
      </c>
      <c r="W47" s="23" t="s">
        <v>531</v>
      </c>
      <c r="X47" s="23">
        <v>42.548659999999998</v>
      </c>
      <c r="Y47" s="23">
        <v>-70.931719999999999</v>
      </c>
      <c r="Z47" s="26" t="s">
        <v>141</v>
      </c>
    </row>
    <row r="48" spans="1:26" x14ac:dyDescent="0.3">
      <c r="A48" s="27" t="s">
        <v>100</v>
      </c>
      <c r="B48" s="28">
        <v>3112</v>
      </c>
      <c r="C48" s="28">
        <v>2007</v>
      </c>
      <c r="D48" s="27">
        <v>16665</v>
      </c>
      <c r="E48" s="28" t="s">
        <v>24</v>
      </c>
      <c r="F48" s="68" t="s">
        <v>78</v>
      </c>
      <c r="G48" s="68"/>
      <c r="H48" s="28" t="s">
        <v>532</v>
      </c>
      <c r="I48" s="28" t="s">
        <v>403</v>
      </c>
      <c r="J48" s="28" t="s">
        <v>33</v>
      </c>
      <c r="K48" s="28" t="s">
        <v>404</v>
      </c>
      <c r="L48" s="28" t="s">
        <v>405</v>
      </c>
      <c r="M48" s="28"/>
      <c r="N48" s="29" t="s">
        <v>90</v>
      </c>
      <c r="O48" s="29" t="s">
        <v>406</v>
      </c>
      <c r="P48" s="29" t="s">
        <v>407</v>
      </c>
      <c r="Q48" s="29" t="s">
        <v>408</v>
      </c>
      <c r="R48" s="29" t="s">
        <v>100</v>
      </c>
      <c r="S48" s="29" t="s">
        <v>425</v>
      </c>
      <c r="T48" s="29"/>
      <c r="U48" s="29"/>
      <c r="V48" s="30">
        <v>45199</v>
      </c>
      <c r="W48" s="28" t="s">
        <v>533</v>
      </c>
      <c r="X48" s="28">
        <v>42.564500000000002</v>
      </c>
      <c r="Y48" s="28">
        <v>-70.875870000000006</v>
      </c>
      <c r="Z48" s="31" t="s">
        <v>90</v>
      </c>
    </row>
    <row r="49" spans="1:26" x14ac:dyDescent="0.3">
      <c r="A49" s="69" t="s">
        <v>534</v>
      </c>
      <c r="B49" s="23">
        <v>114</v>
      </c>
      <c r="C49" s="23">
        <v>2011</v>
      </c>
      <c r="D49" s="69">
        <v>22350</v>
      </c>
      <c r="E49" s="23" t="s">
        <v>24</v>
      </c>
      <c r="F49" s="67" t="s">
        <v>78</v>
      </c>
      <c r="G49" s="67"/>
      <c r="H49" s="23" t="s">
        <v>535</v>
      </c>
      <c r="I49" s="23" t="s">
        <v>516</v>
      </c>
      <c r="J49" s="23" t="s">
        <v>634</v>
      </c>
      <c r="K49" s="23" t="s">
        <v>415</v>
      </c>
      <c r="L49" s="23"/>
      <c r="M49" s="23"/>
      <c r="N49" s="71" t="s">
        <v>174</v>
      </c>
      <c r="O49" s="24" t="s">
        <v>406</v>
      </c>
      <c r="P49" s="24" t="s">
        <v>415</v>
      </c>
      <c r="Q49" s="24" t="s">
        <v>474</v>
      </c>
      <c r="R49" s="24" t="s">
        <v>536</v>
      </c>
      <c r="S49" s="24" t="s">
        <v>425</v>
      </c>
      <c r="T49" s="24"/>
      <c r="U49" s="24"/>
      <c r="V49" s="25">
        <v>45291</v>
      </c>
      <c r="W49" s="23" t="s">
        <v>537</v>
      </c>
      <c r="X49" s="23">
        <v>41.692990000000002</v>
      </c>
      <c r="Y49" s="23">
        <v>-71.163899999999998</v>
      </c>
      <c r="Z49" s="74" t="s">
        <v>174</v>
      </c>
    </row>
    <row r="50" spans="1:26" x14ac:dyDescent="0.3">
      <c r="A50" s="73" t="s">
        <v>178</v>
      </c>
      <c r="B50" s="28">
        <v>126</v>
      </c>
      <c r="C50" s="28">
        <v>2085</v>
      </c>
      <c r="D50" s="73">
        <v>14287</v>
      </c>
      <c r="E50" s="28" t="s">
        <v>30</v>
      </c>
      <c r="F50" s="68" t="s">
        <v>78</v>
      </c>
      <c r="G50" s="68" t="s">
        <v>78</v>
      </c>
      <c r="H50" s="28" t="s">
        <v>538</v>
      </c>
      <c r="I50" s="28" t="s">
        <v>444</v>
      </c>
      <c r="J50" s="28" t="s">
        <v>28</v>
      </c>
      <c r="K50" s="28" t="s">
        <v>415</v>
      </c>
      <c r="L50" s="28" t="s">
        <v>539</v>
      </c>
      <c r="M50" s="28"/>
      <c r="N50" s="75" t="s">
        <v>117</v>
      </c>
      <c r="O50" s="29" t="s">
        <v>406</v>
      </c>
      <c r="P50" s="29" t="s">
        <v>415</v>
      </c>
      <c r="Q50" s="29" t="s">
        <v>474</v>
      </c>
      <c r="R50" s="29" t="s">
        <v>540</v>
      </c>
      <c r="S50" s="29" t="s">
        <v>409</v>
      </c>
      <c r="T50" s="29"/>
      <c r="U50" s="29"/>
      <c r="V50" s="30">
        <v>45291</v>
      </c>
      <c r="W50" s="28" t="s">
        <v>541</v>
      </c>
      <c r="X50" s="28">
        <v>42.349580000000003</v>
      </c>
      <c r="Y50" s="28">
        <v>-71.147980000000004</v>
      </c>
      <c r="Z50" s="76" t="s">
        <v>117</v>
      </c>
    </row>
    <row r="51" spans="1:26" x14ac:dyDescent="0.3">
      <c r="A51" s="22" t="s">
        <v>542</v>
      </c>
      <c r="B51" s="23">
        <v>127</v>
      </c>
      <c r="C51" s="23">
        <v>2128</v>
      </c>
      <c r="D51" s="22">
        <v>3888</v>
      </c>
      <c r="E51" s="23" t="s">
        <v>30</v>
      </c>
      <c r="F51" s="67" t="s">
        <v>78</v>
      </c>
      <c r="G51" s="67" t="s">
        <v>78</v>
      </c>
      <c r="H51" s="23" t="s">
        <v>543</v>
      </c>
      <c r="I51" s="23" t="s">
        <v>414</v>
      </c>
      <c r="J51" s="23" t="s">
        <v>25</v>
      </c>
      <c r="K51" s="23" t="s">
        <v>415</v>
      </c>
      <c r="L51" s="23"/>
      <c r="M51" s="23"/>
      <c r="N51" s="24" t="s">
        <v>510</v>
      </c>
      <c r="O51" s="24" t="s">
        <v>406</v>
      </c>
      <c r="P51" s="24" t="s">
        <v>415</v>
      </c>
      <c r="Q51" s="24" t="s">
        <v>474</v>
      </c>
      <c r="R51" s="24" t="s">
        <v>542</v>
      </c>
      <c r="S51" s="24" t="s">
        <v>409</v>
      </c>
      <c r="T51" s="24"/>
      <c r="U51" s="24"/>
      <c r="V51" s="25">
        <v>45291</v>
      </c>
      <c r="W51" s="23" t="s">
        <v>544</v>
      </c>
      <c r="X51" s="23">
        <v>42.264919999999996</v>
      </c>
      <c r="Y51" s="23">
        <v>-71.796779999999998</v>
      </c>
      <c r="Z51" s="26" t="s">
        <v>510</v>
      </c>
    </row>
    <row r="52" spans="1:26" x14ac:dyDescent="0.3">
      <c r="A52" s="27" t="s">
        <v>545</v>
      </c>
      <c r="B52" s="28">
        <v>6963</v>
      </c>
      <c r="C52" s="28">
        <v>2316</v>
      </c>
      <c r="D52" s="27">
        <v>13158</v>
      </c>
      <c r="E52" s="28" t="s">
        <v>99</v>
      </c>
      <c r="F52" s="68"/>
      <c r="G52" s="68"/>
      <c r="H52" s="28" t="s">
        <v>443</v>
      </c>
      <c r="I52" s="28" t="s">
        <v>444</v>
      </c>
      <c r="J52" s="28" t="s">
        <v>28</v>
      </c>
      <c r="K52" s="28" t="s">
        <v>415</v>
      </c>
      <c r="L52" s="28"/>
      <c r="M52" s="28"/>
      <c r="N52" s="29" t="s">
        <v>546</v>
      </c>
      <c r="O52" s="75" t="s">
        <v>449</v>
      </c>
      <c r="P52" s="29" t="s">
        <v>415</v>
      </c>
      <c r="Q52" s="29" t="s">
        <v>408</v>
      </c>
      <c r="R52" s="29" t="s">
        <v>545</v>
      </c>
      <c r="S52" s="29" t="s">
        <v>409</v>
      </c>
      <c r="T52" s="29"/>
      <c r="U52" s="29"/>
      <c r="V52" s="30">
        <v>45291</v>
      </c>
      <c r="W52" s="28" t="s">
        <v>547</v>
      </c>
      <c r="X52" s="28">
        <v>42.363090999999997</v>
      </c>
      <c r="Y52" s="28">
        <v>-71.066627999999994</v>
      </c>
      <c r="Z52" s="31" t="s">
        <v>546</v>
      </c>
    </row>
    <row r="53" spans="1:26" x14ac:dyDescent="0.3">
      <c r="A53" s="27" t="s">
        <v>164</v>
      </c>
      <c r="B53" s="28">
        <v>25</v>
      </c>
      <c r="C53" s="28">
        <v>2118</v>
      </c>
      <c r="D53" s="27">
        <v>9991</v>
      </c>
      <c r="E53" s="28" t="s">
        <v>24</v>
      </c>
      <c r="F53" s="68" t="s">
        <v>78</v>
      </c>
      <c r="G53" s="68"/>
      <c r="H53" s="28" t="s">
        <v>473</v>
      </c>
      <c r="I53" s="28" t="s">
        <v>441</v>
      </c>
      <c r="J53" s="28" t="s">
        <v>31</v>
      </c>
      <c r="K53" s="28" t="s">
        <v>415</v>
      </c>
      <c r="L53" s="28"/>
      <c r="M53" s="28"/>
      <c r="N53" s="29" t="s">
        <v>163</v>
      </c>
      <c r="O53" s="29" t="s">
        <v>449</v>
      </c>
      <c r="P53" s="29" t="s">
        <v>415</v>
      </c>
      <c r="Q53" s="29" t="s">
        <v>408</v>
      </c>
      <c r="R53" s="29" t="s">
        <v>164</v>
      </c>
      <c r="S53" s="29" t="s">
        <v>409</v>
      </c>
      <c r="T53" s="29"/>
      <c r="U53" s="29"/>
      <c r="V53" s="30">
        <v>45199</v>
      </c>
      <c r="W53" s="28" t="s">
        <v>548</v>
      </c>
      <c r="X53" s="28">
        <v>42.087761</v>
      </c>
      <c r="Y53" s="28">
        <v>-70.991523999999998</v>
      </c>
      <c r="Z53" s="31" t="s">
        <v>163</v>
      </c>
    </row>
    <row r="54" spans="1:26" x14ac:dyDescent="0.3">
      <c r="A54" s="22" t="s">
        <v>168</v>
      </c>
      <c r="B54" s="23">
        <v>122</v>
      </c>
      <c r="C54" s="23">
        <v>2107</v>
      </c>
      <c r="D54" s="22">
        <v>12759</v>
      </c>
      <c r="E54" s="23" t="s">
        <v>24</v>
      </c>
      <c r="F54" s="67" t="s">
        <v>78</v>
      </c>
      <c r="G54" s="67"/>
      <c r="H54" s="23" t="s">
        <v>549</v>
      </c>
      <c r="I54" s="23" t="s">
        <v>436</v>
      </c>
      <c r="J54" s="23" t="s">
        <v>31</v>
      </c>
      <c r="K54" s="23" t="s">
        <v>550</v>
      </c>
      <c r="L54" s="23" t="s">
        <v>539</v>
      </c>
      <c r="M54" s="23"/>
      <c r="N54" s="24" t="s">
        <v>167</v>
      </c>
      <c r="O54" s="24" t="s">
        <v>449</v>
      </c>
      <c r="P54" s="24" t="s">
        <v>415</v>
      </c>
      <c r="Q54" s="24" t="s">
        <v>408</v>
      </c>
      <c r="R54" s="24" t="s">
        <v>168</v>
      </c>
      <c r="S54" s="24" t="s">
        <v>409</v>
      </c>
      <c r="T54" s="24"/>
      <c r="U54" s="24"/>
      <c r="V54" s="25">
        <v>45199</v>
      </c>
      <c r="W54" s="23" t="s">
        <v>551</v>
      </c>
      <c r="X54" s="23">
        <v>42.175690000000003</v>
      </c>
      <c r="Y54" s="23">
        <v>-70.954070000000002</v>
      </c>
      <c r="Z54" s="26" t="s">
        <v>167</v>
      </c>
    </row>
    <row r="55" spans="1:26" x14ac:dyDescent="0.3">
      <c r="A55" s="27" t="s">
        <v>635</v>
      </c>
      <c r="B55" s="28">
        <v>3113</v>
      </c>
      <c r="C55" s="28">
        <v>2010</v>
      </c>
      <c r="D55" s="27">
        <v>4027</v>
      </c>
      <c r="E55" s="28" t="s">
        <v>24</v>
      </c>
      <c r="F55" s="68" t="s">
        <v>78</v>
      </c>
      <c r="G55" s="68"/>
      <c r="H55" s="28" t="s">
        <v>552</v>
      </c>
      <c r="I55" s="28" t="s">
        <v>516</v>
      </c>
      <c r="J55" s="28" t="s">
        <v>634</v>
      </c>
      <c r="K55" s="28" t="s">
        <v>550</v>
      </c>
      <c r="L55" s="28" t="s">
        <v>539</v>
      </c>
      <c r="M55" s="28"/>
      <c r="N55" s="29" t="s">
        <v>636</v>
      </c>
      <c r="O55" s="29" t="s">
        <v>449</v>
      </c>
      <c r="P55" s="29" t="s">
        <v>415</v>
      </c>
      <c r="Q55" s="29" t="s">
        <v>408</v>
      </c>
      <c r="R55" s="29" t="s">
        <v>635</v>
      </c>
      <c r="S55" s="29" t="s">
        <v>409</v>
      </c>
      <c r="T55" s="29" t="s">
        <v>410</v>
      </c>
      <c r="U55" s="29"/>
      <c r="V55" s="30">
        <v>45199</v>
      </c>
      <c r="W55" s="28" t="s">
        <v>553</v>
      </c>
      <c r="X55" s="28">
        <v>41.710160000000002</v>
      </c>
      <c r="Y55" s="28">
        <v>-71.145859999999999</v>
      </c>
      <c r="Z55" s="31" t="s">
        <v>636</v>
      </c>
    </row>
    <row r="56" spans="1:26" x14ac:dyDescent="0.3">
      <c r="A56" s="22" t="s">
        <v>181</v>
      </c>
      <c r="B56" s="23">
        <v>129</v>
      </c>
      <c r="C56" s="23">
        <v>2100</v>
      </c>
      <c r="D56" s="22">
        <v>12773</v>
      </c>
      <c r="E56" s="23" t="s">
        <v>24</v>
      </c>
      <c r="F56" s="67" t="s">
        <v>78</v>
      </c>
      <c r="G56" s="67"/>
      <c r="H56" s="23" t="s">
        <v>554</v>
      </c>
      <c r="I56" s="23" t="s">
        <v>516</v>
      </c>
      <c r="J56" s="23" t="s">
        <v>32</v>
      </c>
      <c r="K56" s="23" t="s">
        <v>415</v>
      </c>
      <c r="L56" s="23"/>
      <c r="M56" s="23"/>
      <c r="N56" s="24" t="s">
        <v>180</v>
      </c>
      <c r="O56" s="24" t="s">
        <v>449</v>
      </c>
      <c r="P56" s="24" t="s">
        <v>415</v>
      </c>
      <c r="Q56" s="24" t="s">
        <v>408</v>
      </c>
      <c r="R56" s="24" t="s">
        <v>181</v>
      </c>
      <c r="S56" s="24" t="s">
        <v>409</v>
      </c>
      <c r="T56" s="24"/>
      <c r="U56" s="24"/>
      <c r="V56" s="25">
        <v>45199</v>
      </c>
      <c r="W56" s="23" t="s">
        <v>555</v>
      </c>
      <c r="X56" s="23">
        <v>41.941929000000002</v>
      </c>
      <c r="Y56" s="23">
        <v>-71.274940000000001</v>
      </c>
      <c r="Z56" s="26" t="s">
        <v>180</v>
      </c>
    </row>
    <row r="57" spans="1:26" x14ac:dyDescent="0.3">
      <c r="A57" s="27" t="s">
        <v>193</v>
      </c>
      <c r="B57" s="28">
        <v>104</v>
      </c>
      <c r="C57" s="28">
        <v>2299</v>
      </c>
      <c r="D57" s="27">
        <v>12775</v>
      </c>
      <c r="E57" s="28" t="s">
        <v>22</v>
      </c>
      <c r="F57" s="68" t="s">
        <v>78</v>
      </c>
      <c r="G57" s="68" t="s">
        <v>78</v>
      </c>
      <c r="H57" s="28" t="s">
        <v>443</v>
      </c>
      <c r="I57" s="28" t="s">
        <v>444</v>
      </c>
      <c r="J57" s="28" t="s">
        <v>28</v>
      </c>
      <c r="K57" s="28" t="s">
        <v>445</v>
      </c>
      <c r="L57" s="28" t="s">
        <v>423</v>
      </c>
      <c r="M57" s="28"/>
      <c r="N57" s="29" t="s">
        <v>190</v>
      </c>
      <c r="O57" s="29" t="s">
        <v>406</v>
      </c>
      <c r="P57" s="29" t="s">
        <v>415</v>
      </c>
      <c r="Q57" s="29" t="s">
        <v>408</v>
      </c>
      <c r="R57" s="29" t="s">
        <v>193</v>
      </c>
      <c r="S57" s="29" t="s">
        <v>409</v>
      </c>
      <c r="T57" s="29"/>
      <c r="U57" s="29"/>
      <c r="V57" s="30">
        <v>45199</v>
      </c>
      <c r="W57" s="28" t="s">
        <v>556</v>
      </c>
      <c r="X57" s="28">
        <v>42.349519999999998</v>
      </c>
      <c r="Y57" s="28">
        <v>-71.063140000000004</v>
      </c>
      <c r="Z57" s="31" t="s">
        <v>190</v>
      </c>
    </row>
    <row r="58" spans="1:26" x14ac:dyDescent="0.3">
      <c r="A58" s="22" t="s">
        <v>201</v>
      </c>
      <c r="B58" s="23">
        <v>3115</v>
      </c>
      <c r="C58" s="23">
        <v>2841</v>
      </c>
      <c r="D58" s="22">
        <v>6755</v>
      </c>
      <c r="E58" s="23" t="s">
        <v>22</v>
      </c>
      <c r="F58" s="67" t="s">
        <v>78</v>
      </c>
      <c r="G58" s="67" t="s">
        <v>78</v>
      </c>
      <c r="H58" s="23" t="s">
        <v>543</v>
      </c>
      <c r="I58" s="23" t="s">
        <v>414</v>
      </c>
      <c r="J58" s="23" t="s">
        <v>25</v>
      </c>
      <c r="K58" s="23" t="s">
        <v>451</v>
      </c>
      <c r="L58" s="23" t="s">
        <v>423</v>
      </c>
      <c r="M58" s="23" t="s">
        <v>448</v>
      </c>
      <c r="N58" s="24" t="s">
        <v>160</v>
      </c>
      <c r="O58" s="24" t="s">
        <v>406</v>
      </c>
      <c r="P58" s="24" t="s">
        <v>415</v>
      </c>
      <c r="Q58" s="24" t="s">
        <v>408</v>
      </c>
      <c r="R58" s="24" t="s">
        <v>201</v>
      </c>
      <c r="S58" s="24" t="s">
        <v>425</v>
      </c>
      <c r="T58" s="24"/>
      <c r="U58" s="24"/>
      <c r="V58" s="25">
        <v>45199</v>
      </c>
      <c r="W58" s="23" t="s">
        <v>557</v>
      </c>
      <c r="X58" s="23">
        <v>42.277830000000002</v>
      </c>
      <c r="Y58" s="23">
        <v>-71.761679999999998</v>
      </c>
      <c r="Z58" s="26" t="s">
        <v>160</v>
      </c>
    </row>
    <row r="59" spans="1:26" x14ac:dyDescent="0.3">
      <c r="A59" s="27" t="s">
        <v>101</v>
      </c>
      <c r="B59" s="28">
        <v>138</v>
      </c>
      <c r="C59" s="28">
        <v>2094</v>
      </c>
      <c r="D59" s="27">
        <v>16665</v>
      </c>
      <c r="E59" s="28" t="s">
        <v>27</v>
      </c>
      <c r="F59" s="68"/>
      <c r="G59" s="68"/>
      <c r="H59" s="28" t="s">
        <v>558</v>
      </c>
      <c r="I59" s="28" t="s">
        <v>456</v>
      </c>
      <c r="J59" s="28" t="s">
        <v>33</v>
      </c>
      <c r="K59" s="28" t="s">
        <v>415</v>
      </c>
      <c r="L59" s="28"/>
      <c r="M59" s="28"/>
      <c r="N59" s="29" t="s">
        <v>90</v>
      </c>
      <c r="O59" s="29" t="s">
        <v>406</v>
      </c>
      <c r="P59" s="29" t="s">
        <v>407</v>
      </c>
      <c r="Q59" s="29" t="s">
        <v>408</v>
      </c>
      <c r="R59" s="29" t="s">
        <v>101</v>
      </c>
      <c r="S59" s="29" t="s">
        <v>409</v>
      </c>
      <c r="T59" s="29"/>
      <c r="U59" s="29"/>
      <c r="V59" s="30">
        <v>45199</v>
      </c>
      <c r="W59" s="28" t="s">
        <v>559</v>
      </c>
      <c r="X59" s="28">
        <v>42.465969999999999</v>
      </c>
      <c r="Y59" s="28">
        <v>-71.122550000000004</v>
      </c>
      <c r="Z59" s="31" t="s">
        <v>90</v>
      </c>
    </row>
    <row r="60" spans="1:26" s="33" customFormat="1" ht="13.2" x14ac:dyDescent="0.25">
      <c r="A60" s="32" t="s">
        <v>560</v>
      </c>
      <c r="B60" s="32">
        <v>6</v>
      </c>
      <c r="E60" s="32" t="s">
        <v>561</v>
      </c>
      <c r="F60" s="32"/>
      <c r="G60" s="32"/>
      <c r="H60" s="32" t="s">
        <v>561</v>
      </c>
      <c r="I60" s="32" t="s">
        <v>561</v>
      </c>
      <c r="J60" s="32" t="s">
        <v>561</v>
      </c>
      <c r="K60" s="32" t="s">
        <v>561</v>
      </c>
      <c r="L60" s="32" t="s">
        <v>561</v>
      </c>
      <c r="M60" s="32" t="s">
        <v>561</v>
      </c>
      <c r="N60" s="32" t="s">
        <v>561</v>
      </c>
      <c r="O60" s="32" t="s">
        <v>561</v>
      </c>
      <c r="P60" s="32" t="s">
        <v>562</v>
      </c>
      <c r="Q60" s="32" t="s">
        <v>561</v>
      </c>
      <c r="R60" s="33" t="str">
        <f t="shared" ref="R60:R67" si="0">A60</f>
        <v>xBaystate Mary Lane Hospital</v>
      </c>
      <c r="S60" s="32" t="s">
        <v>561</v>
      </c>
      <c r="T60" s="32" t="s">
        <v>561</v>
      </c>
      <c r="U60" s="32" t="s">
        <v>561</v>
      </c>
      <c r="V60" s="32" t="s">
        <v>561</v>
      </c>
      <c r="W60" s="32" t="s">
        <v>561</v>
      </c>
      <c r="X60" s="32" t="s">
        <v>561</v>
      </c>
      <c r="Y60" s="32" t="s">
        <v>561</v>
      </c>
      <c r="Z60" s="32" t="s">
        <v>561</v>
      </c>
    </row>
    <row r="61" spans="1:26" s="33" customFormat="1" ht="13.2" x14ac:dyDescent="0.25">
      <c r="A61" s="32" t="s">
        <v>563</v>
      </c>
      <c r="B61" s="32">
        <v>139</v>
      </c>
      <c r="E61" s="32" t="s">
        <v>561</v>
      </c>
      <c r="F61" s="32"/>
      <c r="G61" s="32"/>
      <c r="H61" s="32" t="s">
        <v>561</v>
      </c>
      <c r="I61" s="32" t="s">
        <v>561</v>
      </c>
      <c r="J61" s="32" t="s">
        <v>561</v>
      </c>
      <c r="K61" s="32" t="s">
        <v>561</v>
      </c>
      <c r="L61" s="32" t="s">
        <v>561</v>
      </c>
      <c r="M61" s="32" t="s">
        <v>561</v>
      </c>
      <c r="N61" s="32" t="s">
        <v>561</v>
      </c>
      <c r="O61" s="32" t="s">
        <v>561</v>
      </c>
      <c r="P61" s="32" t="s">
        <v>564</v>
      </c>
      <c r="Q61" s="32" t="s">
        <v>561</v>
      </c>
      <c r="R61" s="33" t="str">
        <f t="shared" si="0"/>
        <v>XBaystate Wing Hospital</v>
      </c>
      <c r="S61" s="32" t="s">
        <v>561</v>
      </c>
      <c r="T61" s="32" t="s">
        <v>561</v>
      </c>
      <c r="U61" s="32" t="s">
        <v>561</v>
      </c>
      <c r="V61" s="32" t="s">
        <v>561</v>
      </c>
      <c r="W61" s="32" t="s">
        <v>561</v>
      </c>
      <c r="X61" s="32" t="s">
        <v>561</v>
      </c>
      <c r="Y61" s="32" t="s">
        <v>561</v>
      </c>
      <c r="Z61" s="32" t="s">
        <v>561</v>
      </c>
    </row>
    <row r="62" spans="1:26" s="33" customFormat="1" ht="13.2" x14ac:dyDescent="0.25">
      <c r="A62" s="32" t="s">
        <v>565</v>
      </c>
      <c r="B62" s="32">
        <v>132</v>
      </c>
      <c r="E62" s="32" t="s">
        <v>561</v>
      </c>
      <c r="F62" s="32"/>
      <c r="G62" s="32"/>
      <c r="H62" s="32" t="s">
        <v>561</v>
      </c>
      <c r="I62" s="32" t="s">
        <v>561</v>
      </c>
      <c r="J62" s="32" t="s">
        <v>561</v>
      </c>
      <c r="K62" s="32" t="s">
        <v>561</v>
      </c>
      <c r="L62" s="32" t="s">
        <v>561</v>
      </c>
      <c r="M62" s="32" t="s">
        <v>561</v>
      </c>
      <c r="N62" s="32" t="s">
        <v>561</v>
      </c>
      <c r="O62" s="32" t="s">
        <v>561</v>
      </c>
      <c r="P62" s="32" t="s">
        <v>566</v>
      </c>
      <c r="Q62" s="32" t="s">
        <v>561</v>
      </c>
      <c r="R62" s="33" t="str">
        <f t="shared" si="0"/>
        <v>xClinton Hospital</v>
      </c>
      <c r="S62" s="32" t="s">
        <v>561</v>
      </c>
      <c r="T62" s="32" t="s">
        <v>561</v>
      </c>
      <c r="U62" s="32" t="s">
        <v>561</v>
      </c>
      <c r="V62" s="32" t="s">
        <v>561</v>
      </c>
      <c r="W62" s="32" t="s">
        <v>561</v>
      </c>
      <c r="X62" s="32" t="s">
        <v>561</v>
      </c>
      <c r="Y62" s="32" t="s">
        <v>561</v>
      </c>
      <c r="Z62" s="32" t="s">
        <v>561</v>
      </c>
    </row>
    <row r="63" spans="1:26" s="33" customFormat="1" ht="13.2" x14ac:dyDescent="0.25">
      <c r="A63" s="32" t="s">
        <v>567</v>
      </c>
      <c r="B63" s="32">
        <v>71</v>
      </c>
      <c r="E63" s="32" t="s">
        <v>561</v>
      </c>
      <c r="F63" s="32"/>
      <c r="G63" s="32"/>
      <c r="H63" s="32" t="s">
        <v>561</v>
      </c>
      <c r="I63" s="32" t="s">
        <v>561</v>
      </c>
      <c r="J63" s="32" t="s">
        <v>561</v>
      </c>
      <c r="K63" s="32" t="s">
        <v>561</v>
      </c>
      <c r="L63" s="32" t="s">
        <v>561</v>
      </c>
      <c r="M63" s="32" t="s">
        <v>561</v>
      </c>
      <c r="N63" s="32" t="s">
        <v>561</v>
      </c>
      <c r="O63" s="32" t="s">
        <v>561</v>
      </c>
      <c r="P63" s="32" t="s">
        <v>568</v>
      </c>
      <c r="Q63" s="32" t="s">
        <v>561</v>
      </c>
      <c r="R63" s="33" t="str">
        <f t="shared" si="0"/>
        <v>xHealthAlliance Hospital</v>
      </c>
      <c r="S63" s="32" t="s">
        <v>561</v>
      </c>
      <c r="T63" s="32" t="s">
        <v>561</v>
      </c>
      <c r="U63" s="32" t="s">
        <v>561</v>
      </c>
      <c r="V63" s="32" t="s">
        <v>561</v>
      </c>
      <c r="W63" s="32" t="s">
        <v>561</v>
      </c>
      <c r="X63" s="32" t="s">
        <v>561</v>
      </c>
      <c r="Y63" s="32" t="s">
        <v>561</v>
      </c>
      <c r="Z63" s="32" t="s">
        <v>561</v>
      </c>
    </row>
    <row r="64" spans="1:26" s="33" customFormat="1" ht="13.2" x14ac:dyDescent="0.25">
      <c r="A64" s="32" t="s">
        <v>569</v>
      </c>
      <c r="B64" s="32">
        <v>115</v>
      </c>
      <c r="E64" s="32" t="s">
        <v>561</v>
      </c>
      <c r="F64" s="32"/>
      <c r="G64" s="32"/>
      <c r="H64" s="32" t="s">
        <v>561</v>
      </c>
      <c r="I64" s="32" t="s">
        <v>561</v>
      </c>
      <c r="J64" s="32" t="s">
        <v>561</v>
      </c>
      <c r="K64" s="32" t="s">
        <v>561</v>
      </c>
      <c r="L64" s="32" t="s">
        <v>561</v>
      </c>
      <c r="M64" s="32" t="s">
        <v>561</v>
      </c>
      <c r="N64" s="32" t="s">
        <v>561</v>
      </c>
      <c r="O64" s="32" t="s">
        <v>561</v>
      </c>
      <c r="P64" s="32" t="s">
        <v>570</v>
      </c>
      <c r="Q64" s="32" t="s">
        <v>561</v>
      </c>
      <c r="R64" s="33" t="str">
        <f t="shared" si="0"/>
        <v>xLowell General Hospital Saints Campus</v>
      </c>
      <c r="S64" s="32" t="s">
        <v>561</v>
      </c>
      <c r="T64" s="32" t="s">
        <v>561</v>
      </c>
      <c r="U64" s="32" t="s">
        <v>561</v>
      </c>
      <c r="V64" s="32" t="s">
        <v>561</v>
      </c>
      <c r="W64" s="32" t="s">
        <v>561</v>
      </c>
      <c r="X64" s="32" t="s">
        <v>561</v>
      </c>
      <c r="Y64" s="32" t="s">
        <v>561</v>
      </c>
      <c r="Z64" s="32" t="s">
        <v>561</v>
      </c>
    </row>
    <row r="65" spans="1:26" s="33" customFormat="1" ht="13.2" x14ac:dyDescent="0.25">
      <c r="A65" s="32" t="s">
        <v>571</v>
      </c>
      <c r="B65" s="32">
        <v>107</v>
      </c>
      <c r="E65" s="32" t="s">
        <v>561</v>
      </c>
      <c r="F65" s="32"/>
      <c r="G65" s="32"/>
      <c r="H65" s="32" t="s">
        <v>561</v>
      </c>
      <c r="I65" s="32" t="s">
        <v>561</v>
      </c>
      <c r="J65" s="32" t="s">
        <v>561</v>
      </c>
      <c r="K65" s="32" t="s">
        <v>561</v>
      </c>
      <c r="L65" s="32" t="s">
        <v>561</v>
      </c>
      <c r="M65" s="32" t="s">
        <v>561</v>
      </c>
      <c r="N65" s="32" t="s">
        <v>561</v>
      </c>
      <c r="O65" s="32" t="s">
        <v>561</v>
      </c>
      <c r="P65" s="32" t="s">
        <v>572</v>
      </c>
      <c r="Q65" s="32" t="s">
        <v>561</v>
      </c>
      <c r="R65" s="33" t="str">
        <f t="shared" si="0"/>
        <v>xNorth Adams Regional Hospital</v>
      </c>
      <c r="S65" s="32" t="s">
        <v>561</v>
      </c>
      <c r="T65" s="32" t="s">
        <v>561</v>
      </c>
      <c r="U65" s="32" t="s">
        <v>561</v>
      </c>
      <c r="V65" s="32" t="s">
        <v>561</v>
      </c>
      <c r="W65" s="32" t="s">
        <v>561</v>
      </c>
      <c r="X65" s="32" t="s">
        <v>561</v>
      </c>
      <c r="Y65" s="32" t="s">
        <v>561</v>
      </c>
      <c r="Z65" s="32" t="s">
        <v>561</v>
      </c>
    </row>
    <row r="66" spans="1:26" s="33" customFormat="1" ht="13.2" x14ac:dyDescent="0.25">
      <c r="A66" s="32" t="s">
        <v>573</v>
      </c>
      <c r="B66" s="32">
        <v>112</v>
      </c>
      <c r="E66" s="32" t="s">
        <v>561</v>
      </c>
      <c r="F66" s="32"/>
      <c r="G66" s="32"/>
      <c r="H66" s="32" t="s">
        <v>561</v>
      </c>
      <c r="I66" s="32" t="s">
        <v>561</v>
      </c>
      <c r="J66" s="32" t="s">
        <v>561</v>
      </c>
      <c r="K66" s="32" t="s">
        <v>561</v>
      </c>
      <c r="L66" s="32" t="s">
        <v>561</v>
      </c>
      <c r="M66" s="32" t="s">
        <v>561</v>
      </c>
      <c r="N66" s="32" t="s">
        <v>561</v>
      </c>
      <c r="O66" s="32" t="s">
        <v>561</v>
      </c>
      <c r="P66" s="32" t="s">
        <v>574</v>
      </c>
      <c r="Q66" s="32" t="s">
        <v>561</v>
      </c>
      <c r="R66" s="33" t="str">
        <f t="shared" si="0"/>
        <v>xQuincy Medical Center</v>
      </c>
      <c r="S66" s="32" t="s">
        <v>561</v>
      </c>
      <c r="T66" s="32" t="s">
        <v>561</v>
      </c>
      <c r="U66" s="32" t="s">
        <v>561</v>
      </c>
      <c r="V66" s="32" t="s">
        <v>561</v>
      </c>
      <c r="W66" s="32" t="s">
        <v>561</v>
      </c>
      <c r="X66" s="32" t="s">
        <v>561</v>
      </c>
      <c r="Y66" s="32" t="s">
        <v>561</v>
      </c>
      <c r="Z66" s="32" t="s">
        <v>561</v>
      </c>
    </row>
    <row r="67" spans="1:26" s="33" customFormat="1" ht="13.2" x14ac:dyDescent="0.25">
      <c r="A67" s="32" t="s">
        <v>575</v>
      </c>
      <c r="B67" s="32">
        <v>11466</v>
      </c>
      <c r="E67" s="32" t="s">
        <v>561</v>
      </c>
      <c r="F67" s="32"/>
      <c r="G67" s="32"/>
      <c r="H67" s="32" t="s">
        <v>561</v>
      </c>
      <c r="I67" s="32" t="s">
        <v>561</v>
      </c>
      <c r="J67" s="32" t="s">
        <v>561</v>
      </c>
      <c r="K67" s="32" t="s">
        <v>561</v>
      </c>
      <c r="L67" s="32" t="s">
        <v>561</v>
      </c>
      <c r="M67" s="32" t="s">
        <v>561</v>
      </c>
      <c r="N67" s="32" t="s">
        <v>561</v>
      </c>
      <c r="O67" s="32" t="s">
        <v>561</v>
      </c>
      <c r="P67" s="32" t="s">
        <v>576</v>
      </c>
      <c r="Q67" s="32" t="s">
        <v>561</v>
      </c>
      <c r="R67" s="33" t="str">
        <f t="shared" si="0"/>
        <v>xSteward Holy Family Hospital at Merrimack Valley</v>
      </c>
      <c r="S67" s="32" t="s">
        <v>561</v>
      </c>
      <c r="T67" s="32" t="s">
        <v>561</v>
      </c>
      <c r="U67" s="32" t="s">
        <v>561</v>
      </c>
      <c r="V67" s="32" t="s">
        <v>561</v>
      </c>
      <c r="W67" s="32" t="s">
        <v>561</v>
      </c>
      <c r="X67" s="32" t="s">
        <v>561</v>
      </c>
      <c r="Y67" s="32" t="s">
        <v>561</v>
      </c>
      <c r="Z67" s="32" t="s">
        <v>561</v>
      </c>
    </row>
    <row r="68" spans="1:26" s="33" customFormat="1" ht="13.2" x14ac:dyDescent="0.25">
      <c r="A68" s="32" t="s">
        <v>577</v>
      </c>
      <c r="B68" s="32">
        <v>42</v>
      </c>
      <c r="E68" s="28" t="s">
        <v>30</v>
      </c>
      <c r="F68" s="32" t="s">
        <v>78</v>
      </c>
      <c r="G68" s="32" t="s">
        <v>78</v>
      </c>
      <c r="H68" s="32"/>
      <c r="I68" s="32"/>
      <c r="J68" s="28" t="s">
        <v>28</v>
      </c>
      <c r="K68" s="32"/>
      <c r="L68" s="32"/>
      <c r="M68" s="32"/>
      <c r="N68" s="32"/>
      <c r="O68" s="32"/>
      <c r="P68" s="32"/>
      <c r="Q68" s="32"/>
      <c r="S68" s="32"/>
      <c r="T68" s="32"/>
      <c r="U68" s="32"/>
      <c r="V68" s="32"/>
      <c r="W68" s="32"/>
      <c r="X68" s="32"/>
      <c r="Y68" s="32"/>
      <c r="Z68" s="32"/>
    </row>
    <row r="69" spans="1:26" s="33" customFormat="1" ht="13.2" x14ac:dyDescent="0.25">
      <c r="A69" s="32" t="s">
        <v>578</v>
      </c>
      <c r="B69" s="32">
        <v>11467</v>
      </c>
      <c r="E69" s="28" t="s">
        <v>24</v>
      </c>
      <c r="F69" s="32" t="s">
        <v>78</v>
      </c>
      <c r="G69" s="32"/>
      <c r="H69" s="32"/>
      <c r="I69" s="32"/>
      <c r="J69" s="28" t="s">
        <v>33</v>
      </c>
      <c r="K69" s="32"/>
      <c r="L69" s="32"/>
      <c r="M69" s="32"/>
      <c r="N69" s="32"/>
      <c r="O69" s="32"/>
      <c r="P69" s="32"/>
      <c r="Q69" s="32"/>
      <c r="S69" s="32"/>
      <c r="T69" s="32"/>
      <c r="U69" s="32"/>
      <c r="V69" s="32"/>
      <c r="W69" s="32"/>
      <c r="X69" s="32"/>
      <c r="Y69" s="32"/>
      <c r="Z69" s="32"/>
    </row>
    <row r="70" spans="1:26" s="33" customFormat="1" ht="13.2" x14ac:dyDescent="0.25">
      <c r="A70" s="32" t="s">
        <v>579</v>
      </c>
      <c r="B70" s="32">
        <v>41</v>
      </c>
      <c r="E70" s="28" t="s">
        <v>24</v>
      </c>
      <c r="F70" s="32" t="s">
        <v>78</v>
      </c>
      <c r="G70" s="32"/>
      <c r="H70" s="32"/>
      <c r="I70" s="32"/>
      <c r="J70" s="28" t="s">
        <v>32</v>
      </c>
      <c r="K70" s="32"/>
      <c r="L70" s="32"/>
      <c r="M70" s="32"/>
      <c r="N70" s="32"/>
      <c r="O70" s="32"/>
      <c r="P70" s="32"/>
      <c r="Q70" s="32"/>
      <c r="S70" s="32"/>
      <c r="T70" s="32"/>
      <c r="U70" s="32"/>
      <c r="V70" s="32"/>
      <c r="W70" s="32"/>
      <c r="X70" s="32"/>
      <c r="Y70" s="32"/>
      <c r="Z70" s="32"/>
    </row>
    <row r="71" spans="1:26" s="33" customFormat="1" ht="13.2" x14ac:dyDescent="0.25">
      <c r="A71" s="32"/>
      <c r="B71" s="32"/>
      <c r="E71" s="32"/>
      <c r="F71" s="32"/>
      <c r="G71" s="32"/>
      <c r="H71" s="32"/>
      <c r="I71" s="32"/>
      <c r="J71" s="32"/>
      <c r="K71" s="32"/>
      <c r="L71" s="32"/>
      <c r="M71" s="32"/>
      <c r="N71" s="32"/>
      <c r="O71" s="32"/>
      <c r="P71" s="32"/>
      <c r="Q71" s="32"/>
      <c r="S71" s="32"/>
      <c r="T71" s="32"/>
      <c r="U71" s="32"/>
      <c r="V71" s="32"/>
      <c r="W71" s="32"/>
      <c r="X71" s="32"/>
      <c r="Y71" s="32"/>
      <c r="Z71" s="32"/>
    </row>
    <row r="72" spans="1:26" s="33" customFormat="1" ht="13.2" x14ac:dyDescent="0.25">
      <c r="A72" s="32"/>
      <c r="B72" s="32"/>
      <c r="E72" s="32"/>
      <c r="F72" s="32"/>
      <c r="G72" s="32"/>
      <c r="H72" s="32"/>
      <c r="I72" s="32"/>
      <c r="J72" s="32"/>
      <c r="K72" s="32"/>
      <c r="L72" s="32"/>
      <c r="M72" s="32"/>
      <c r="N72" s="32"/>
      <c r="O72" s="32"/>
      <c r="P72" s="32"/>
      <c r="Q72" s="32"/>
      <c r="S72" s="32"/>
      <c r="T72" s="32"/>
      <c r="U72" s="32"/>
      <c r="V72" s="32"/>
      <c r="W72" s="32"/>
      <c r="X72" s="32"/>
      <c r="Y72" s="32"/>
      <c r="Z72" s="32"/>
    </row>
    <row r="73" spans="1:26" s="33" customFormat="1" ht="13.2" x14ac:dyDescent="0.25">
      <c r="A73" s="32"/>
      <c r="B73" s="32"/>
      <c r="E73" s="32"/>
      <c r="F73" s="32"/>
      <c r="G73" s="32"/>
      <c r="H73" s="32"/>
      <c r="I73" s="32"/>
      <c r="J73" s="32"/>
      <c r="K73" s="32"/>
      <c r="L73" s="32"/>
      <c r="M73" s="32"/>
      <c r="N73" s="32"/>
      <c r="O73" s="32"/>
      <c r="P73" s="32"/>
      <c r="Q73" s="32"/>
      <c r="S73" s="32"/>
      <c r="T73" s="32"/>
      <c r="U73" s="32"/>
      <c r="V73" s="32"/>
      <c r="W73" s="32"/>
      <c r="X73" s="32"/>
      <c r="Y73" s="32"/>
      <c r="Z73" s="32"/>
    </row>
    <row r="74" spans="1:26" x14ac:dyDescent="0.3">
      <c r="A74" s="13" t="s">
        <v>580</v>
      </c>
      <c r="B74" s="32"/>
      <c r="C74" s="32"/>
      <c r="D74" s="32"/>
      <c r="E74" s="32"/>
      <c r="F74" s="32"/>
      <c r="G74" s="32"/>
      <c r="H74" s="32"/>
      <c r="I74" s="32"/>
      <c r="J74" s="32"/>
      <c r="K74" s="32"/>
      <c r="L74" s="32"/>
      <c r="M74" s="32"/>
      <c r="N74" s="35"/>
      <c r="O74" s="35"/>
      <c r="P74" s="34"/>
      <c r="Q74" s="34"/>
      <c r="R74" s="34"/>
      <c r="S74" s="34"/>
      <c r="T74" s="34"/>
      <c r="U74" s="34"/>
      <c r="V74" s="34"/>
      <c r="W74" s="32"/>
      <c r="X74" s="32"/>
      <c r="Y74" s="32"/>
      <c r="Z74" s="34"/>
    </row>
    <row r="75" spans="1:26" x14ac:dyDescent="0.3">
      <c r="A75" s="32" t="s">
        <v>581</v>
      </c>
      <c r="B75" s="32"/>
      <c r="C75" s="32"/>
      <c r="D75" s="32"/>
      <c r="E75" s="32"/>
      <c r="F75" s="32"/>
      <c r="G75" s="32"/>
      <c r="H75" s="32"/>
      <c r="I75" s="32"/>
      <c r="J75" s="32"/>
      <c r="K75" s="32"/>
      <c r="L75" s="32"/>
      <c r="M75" s="32"/>
      <c r="N75" s="34"/>
      <c r="O75" s="34"/>
      <c r="P75" s="34"/>
      <c r="Q75" s="34"/>
      <c r="R75" s="34"/>
      <c r="S75" s="34"/>
      <c r="T75" s="34"/>
      <c r="U75" s="34"/>
      <c r="V75" s="34"/>
      <c r="W75" s="32"/>
      <c r="X75" s="32"/>
      <c r="Y75" s="32"/>
      <c r="Z75" s="34"/>
    </row>
    <row r="76" spans="1:26" x14ac:dyDescent="0.3">
      <c r="A76" s="32" t="s">
        <v>582</v>
      </c>
      <c r="B76" s="32"/>
      <c r="C76" s="32"/>
      <c r="D76" s="32"/>
      <c r="E76" s="32"/>
      <c r="F76" s="32"/>
      <c r="G76" s="32"/>
      <c r="H76" s="32"/>
      <c r="I76" s="32"/>
      <c r="J76" s="32"/>
      <c r="K76" s="32"/>
      <c r="L76" s="32"/>
      <c r="M76" s="32"/>
      <c r="N76" s="34"/>
      <c r="O76" s="34"/>
      <c r="P76" s="34"/>
      <c r="Q76" s="34"/>
      <c r="R76" s="34"/>
      <c r="S76" s="34"/>
      <c r="T76" s="34"/>
      <c r="U76" s="34"/>
      <c r="V76" s="34"/>
      <c r="W76" s="32"/>
      <c r="X76" s="32"/>
      <c r="Y76" s="32"/>
      <c r="Z76" s="34"/>
    </row>
    <row r="77" spans="1:26" x14ac:dyDescent="0.3">
      <c r="A77" s="32" t="s">
        <v>583</v>
      </c>
      <c r="B77" s="32"/>
      <c r="C77" s="32"/>
      <c r="D77" s="32"/>
      <c r="E77" s="32"/>
      <c r="F77" s="32"/>
      <c r="G77" s="32"/>
      <c r="H77" s="32"/>
      <c r="I77" s="32"/>
      <c r="J77" s="32"/>
      <c r="K77" s="32"/>
      <c r="L77" s="32"/>
      <c r="M77" s="32"/>
      <c r="N77" s="34"/>
      <c r="O77" s="34"/>
      <c r="P77" s="34"/>
      <c r="Q77" s="34"/>
      <c r="R77" s="34"/>
      <c r="S77" s="34"/>
      <c r="T77" s="34"/>
      <c r="U77" s="34"/>
      <c r="V77" s="34"/>
      <c r="W77" s="32"/>
      <c r="X77" s="32"/>
      <c r="Y77" s="32"/>
      <c r="Z77" s="34"/>
    </row>
    <row r="78" spans="1:26" x14ac:dyDescent="0.3">
      <c r="A78" s="32" t="s">
        <v>584</v>
      </c>
      <c r="B78" s="32"/>
      <c r="C78" s="32"/>
      <c r="D78" s="32"/>
      <c r="E78" s="32"/>
      <c r="F78" s="32"/>
      <c r="G78" s="32"/>
      <c r="H78" s="32"/>
      <c r="I78" s="32"/>
      <c r="J78" s="32"/>
      <c r="K78" s="32"/>
      <c r="L78" s="32"/>
      <c r="M78" s="32"/>
      <c r="N78" s="34"/>
      <c r="O78" s="34"/>
      <c r="P78" s="34"/>
      <c r="Q78" s="34"/>
      <c r="R78" s="34"/>
      <c r="S78" s="34"/>
      <c r="T78" s="34"/>
      <c r="U78" s="34"/>
      <c r="V78" s="34"/>
      <c r="W78" s="32"/>
      <c r="X78" s="32"/>
      <c r="Y78" s="32"/>
      <c r="Z78" s="34"/>
    </row>
    <row r="79" spans="1:26" x14ac:dyDescent="0.3">
      <c r="A79" s="32" t="s">
        <v>585</v>
      </c>
      <c r="B79" s="32"/>
      <c r="C79" s="32"/>
      <c r="D79" s="32"/>
      <c r="E79" s="32"/>
      <c r="F79" s="32"/>
      <c r="G79" s="32"/>
      <c r="H79" s="32"/>
      <c r="I79" s="32"/>
      <c r="J79" s="32"/>
      <c r="K79" s="32"/>
      <c r="L79" s="32"/>
      <c r="M79" s="32"/>
      <c r="N79" s="34"/>
      <c r="O79" s="34"/>
      <c r="P79" s="34"/>
      <c r="Q79" s="34"/>
      <c r="R79" s="34"/>
      <c r="S79" s="34"/>
      <c r="T79" s="34"/>
      <c r="U79" s="34"/>
      <c r="V79" s="34"/>
      <c r="W79" s="32"/>
      <c r="X79" s="32"/>
      <c r="Y79" s="32"/>
      <c r="Z79" s="34"/>
    </row>
    <row r="80" spans="1:26" x14ac:dyDescent="0.3">
      <c r="A80" s="32"/>
      <c r="B80" s="32"/>
      <c r="C80" s="32"/>
      <c r="D80" s="32"/>
      <c r="E80" s="32"/>
      <c r="F80" s="32"/>
      <c r="G80" s="32"/>
      <c r="H80" s="32"/>
      <c r="I80" s="32"/>
      <c r="J80" s="32"/>
      <c r="K80" s="32"/>
      <c r="L80" s="32"/>
      <c r="M80" s="32"/>
      <c r="N80" s="34"/>
      <c r="O80" s="34"/>
      <c r="P80" s="34"/>
      <c r="Q80" s="34"/>
      <c r="R80" s="34"/>
      <c r="S80" s="34"/>
      <c r="T80" s="34"/>
      <c r="U80" s="34"/>
      <c r="V80" s="34"/>
      <c r="W80" s="32"/>
      <c r="X80" s="32"/>
      <c r="Y80" s="32"/>
      <c r="Z80" s="34"/>
    </row>
    <row r="81" spans="1:26" x14ac:dyDescent="0.3">
      <c r="A81" s="32"/>
      <c r="B81" s="32"/>
      <c r="C81" s="32"/>
      <c r="D81" s="32"/>
      <c r="E81" s="32"/>
      <c r="F81" s="32"/>
      <c r="G81" s="32"/>
      <c r="H81" s="32"/>
      <c r="I81" s="32"/>
      <c r="J81" s="32"/>
      <c r="K81" s="32"/>
      <c r="L81" s="32"/>
      <c r="M81" s="32"/>
      <c r="N81" s="34"/>
      <c r="O81" s="34"/>
      <c r="P81" s="34"/>
      <c r="Q81" s="34"/>
      <c r="R81" s="34"/>
      <c r="S81" s="34"/>
      <c r="T81" s="34"/>
      <c r="U81" s="34"/>
      <c r="V81" s="34"/>
      <c r="W81" s="32"/>
      <c r="X81" s="32"/>
      <c r="Y81" s="32"/>
      <c r="Z81" s="34"/>
    </row>
    <row r="82" spans="1:26" x14ac:dyDescent="0.3">
      <c r="A82" s="32"/>
      <c r="B82" s="32"/>
      <c r="C82" s="32"/>
      <c r="D82" s="32"/>
      <c r="E82" s="32"/>
      <c r="F82" s="32"/>
      <c r="G82" s="32"/>
      <c r="H82" s="32"/>
      <c r="I82" s="32"/>
      <c r="J82" s="32"/>
      <c r="K82" s="32"/>
      <c r="L82" s="32"/>
      <c r="M82" s="32"/>
      <c r="N82" s="34"/>
      <c r="O82" s="34"/>
      <c r="P82" s="34"/>
      <c r="Q82" s="34"/>
      <c r="R82" s="34"/>
      <c r="S82" s="34"/>
      <c r="T82" s="34"/>
      <c r="U82" s="34"/>
      <c r="V82" s="34"/>
      <c r="W82" s="32"/>
      <c r="X82" s="32"/>
      <c r="Y82" s="32"/>
      <c r="Z82" s="34"/>
    </row>
    <row r="83" spans="1:26" x14ac:dyDescent="0.3">
      <c r="A83" s="34"/>
      <c r="B83" s="34"/>
      <c r="C83" s="34"/>
      <c r="D83" s="34"/>
      <c r="E83" s="34"/>
      <c r="F83" s="34"/>
      <c r="G83" s="34"/>
      <c r="H83" s="34"/>
      <c r="I83" s="34"/>
      <c r="J83" s="34"/>
      <c r="K83" s="34"/>
      <c r="L83" s="34"/>
      <c r="M83" s="34"/>
      <c r="N83" s="34"/>
      <c r="O83" s="34"/>
      <c r="P83" s="34"/>
      <c r="Q83" s="34"/>
      <c r="R83" s="34"/>
      <c r="S83" s="34"/>
      <c r="T83" s="34"/>
      <c r="U83" s="34"/>
      <c r="V83" s="34"/>
      <c r="W83" s="34"/>
      <c r="X83" s="34"/>
      <c r="Y83" s="34"/>
      <c r="Z83" s="34"/>
    </row>
    <row r="84" spans="1:26" x14ac:dyDescent="0.3">
      <c r="A84" s="34"/>
      <c r="B84" s="34"/>
      <c r="C84" s="34"/>
      <c r="D84" s="34"/>
      <c r="E84" s="34"/>
      <c r="F84" s="34"/>
      <c r="G84" s="34"/>
      <c r="H84" s="34"/>
      <c r="I84" s="34"/>
      <c r="J84" s="34"/>
      <c r="K84" s="34"/>
      <c r="L84" s="34"/>
      <c r="M84" s="34"/>
      <c r="N84" s="34"/>
      <c r="O84" s="34"/>
      <c r="P84" s="34"/>
      <c r="Q84" s="34"/>
      <c r="R84" s="34"/>
      <c r="S84" s="34"/>
      <c r="T84" s="34"/>
      <c r="U84" s="34"/>
      <c r="V84" s="34"/>
      <c r="W84" s="34"/>
      <c r="X84" s="34"/>
      <c r="Y84" s="34"/>
      <c r="Z84" s="34"/>
    </row>
    <row r="85" spans="1:26" x14ac:dyDescent="0.3">
      <c r="A85" s="36"/>
      <c r="B85" s="34"/>
      <c r="C85" s="34"/>
      <c r="D85" s="34"/>
      <c r="E85" s="34"/>
      <c r="F85" s="34"/>
      <c r="G85" s="34"/>
      <c r="H85" s="34"/>
      <c r="I85" s="34"/>
      <c r="J85" s="34"/>
      <c r="K85" s="34"/>
      <c r="L85" s="34"/>
      <c r="M85" s="34"/>
      <c r="N85" s="34"/>
      <c r="O85" s="34"/>
      <c r="P85" s="34"/>
      <c r="Q85" s="34"/>
      <c r="R85" s="34"/>
      <c r="S85" s="34"/>
      <c r="T85" s="34"/>
      <c r="U85" s="34"/>
      <c r="V85" s="34"/>
      <c r="W85" s="34"/>
      <c r="X85" s="34"/>
      <c r="Y85" s="34"/>
      <c r="Z85" s="34"/>
    </row>
    <row r="86" spans="1:26" x14ac:dyDescent="0.3">
      <c r="A86" s="36"/>
      <c r="B86" s="34"/>
      <c r="C86" s="34"/>
      <c r="D86" s="34"/>
      <c r="E86" s="34"/>
      <c r="F86" s="34"/>
      <c r="G86" s="34"/>
      <c r="H86" s="34"/>
      <c r="I86" s="34"/>
      <c r="J86" s="34"/>
      <c r="K86" s="34"/>
      <c r="L86" s="34"/>
      <c r="M86" s="34"/>
      <c r="N86" s="34"/>
      <c r="O86" s="34"/>
      <c r="P86" s="34"/>
      <c r="Q86" s="34"/>
      <c r="R86" s="34"/>
      <c r="S86" s="34"/>
      <c r="T86" s="34"/>
      <c r="U86" s="34"/>
      <c r="V86" s="34"/>
      <c r="W86" s="34"/>
      <c r="X86" s="34"/>
      <c r="Y86" s="34"/>
      <c r="Z86" s="34"/>
    </row>
    <row r="87" spans="1:26" x14ac:dyDescent="0.3">
      <c r="A87" s="36"/>
      <c r="B87" s="34"/>
      <c r="C87" s="34"/>
      <c r="D87" s="34"/>
      <c r="E87" s="34"/>
      <c r="F87" s="34"/>
      <c r="G87" s="34"/>
      <c r="H87" s="34"/>
      <c r="I87" s="34"/>
      <c r="J87" s="34"/>
      <c r="K87" s="34"/>
      <c r="L87" s="34"/>
      <c r="M87" s="34"/>
      <c r="N87" s="34"/>
      <c r="O87" s="34"/>
      <c r="P87" s="34"/>
      <c r="Q87" s="34"/>
      <c r="R87" s="34"/>
      <c r="S87" s="34"/>
      <c r="T87" s="34"/>
      <c r="U87" s="34"/>
      <c r="V87" s="34"/>
      <c r="W87" s="34"/>
      <c r="X87" s="34"/>
      <c r="Y87" s="34"/>
      <c r="Z87" s="34"/>
    </row>
    <row r="88" spans="1:26" x14ac:dyDescent="0.3">
      <c r="A88" s="36"/>
      <c r="B88" s="34"/>
      <c r="C88" s="34"/>
      <c r="D88" s="34"/>
      <c r="E88" s="34"/>
      <c r="F88" s="34"/>
      <c r="G88" s="34"/>
      <c r="H88" s="34"/>
      <c r="I88" s="34"/>
      <c r="J88" s="34"/>
      <c r="K88" s="34"/>
      <c r="L88" s="34"/>
      <c r="M88" s="34"/>
      <c r="N88" s="34"/>
      <c r="O88" s="34"/>
      <c r="P88" s="34"/>
      <c r="Q88" s="34"/>
      <c r="R88" s="34"/>
      <c r="S88" s="34"/>
      <c r="T88" s="34"/>
      <c r="U88" s="34"/>
      <c r="V88" s="34"/>
      <c r="W88" s="34"/>
      <c r="X88" s="34"/>
      <c r="Y88" s="34"/>
      <c r="Z88" s="34"/>
    </row>
    <row r="89" spans="1:26" x14ac:dyDescent="0.3">
      <c r="A89" s="78"/>
      <c r="B89" s="32"/>
      <c r="C89" s="32"/>
      <c r="D89" s="32"/>
      <c r="E89" s="32"/>
      <c r="F89" s="32"/>
      <c r="G89" s="32"/>
      <c r="H89" s="32"/>
      <c r="I89" s="32"/>
      <c r="J89" s="32"/>
      <c r="K89" s="32"/>
      <c r="L89" s="32"/>
      <c r="M89" s="32"/>
      <c r="N89" s="34"/>
      <c r="O89" s="34"/>
      <c r="P89" s="34"/>
      <c r="Q89" s="34"/>
      <c r="R89" s="34"/>
      <c r="S89" s="34"/>
      <c r="T89" s="34"/>
      <c r="U89" s="34"/>
      <c r="V89" s="34"/>
      <c r="W89" s="32"/>
      <c r="X89" s="32"/>
      <c r="Y89" s="32"/>
      <c r="Z89" s="34"/>
    </row>
  </sheetData>
  <autoFilter ref="A1:Z70" xr:uid="{C706C321-3B51-4BF6-BF78-99D4BC120EC1}"/>
  <conditionalFormatting sqref="P60:P73 R60:R73">
    <cfRule type="expression" dxfId="2" priority="1">
      <formula>P60=1</formula>
    </cfRule>
  </conditionalFormatting>
  <hyperlinks>
    <hyperlink ref="K1" r:id="rId1" xr:uid="{DF07AE8A-D818-468B-8B50-670AC18946B5}"/>
  </hyperlinks>
  <pageMargins left="0.7" right="0.7" top="0.75" bottom="0.75" header="0.3" footer="0.3"/>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593D9C-A869-49A1-AF0B-D40F0BB62941}">
  <sheetPr codeName="Sheet7"/>
  <dimension ref="A1:BS141"/>
  <sheetViews>
    <sheetView zoomScaleNormal="100" workbookViewId="0">
      <pane xSplit="4" ySplit="1" topLeftCell="BI2" activePane="bottomRight" state="frozen"/>
      <selection pane="topRight" activeCell="E1" sqref="E1"/>
      <selection pane="bottomLeft" activeCell="A2" sqref="A2"/>
      <selection pane="bottomRight"/>
    </sheetView>
  </sheetViews>
  <sheetFormatPr defaultColWidth="9.44140625" defaultRowHeight="30" customHeight="1" x14ac:dyDescent="0.3"/>
  <cols>
    <col min="1" max="1" width="17.44140625" style="56" customWidth="1"/>
    <col min="2" max="2" width="30.5546875" style="56" bestFit="1" customWidth="1"/>
    <col min="3" max="8" width="17.44140625" style="56" customWidth="1"/>
    <col min="9" max="9" width="19.5546875" style="56" bestFit="1" customWidth="1"/>
    <col min="10" max="10" width="14.5546875" style="56" bestFit="1" customWidth="1"/>
    <col min="11" max="71" width="17.44140625" style="56" customWidth="1"/>
    <col min="72" max="16384" width="9.44140625" style="56"/>
  </cols>
  <sheetData>
    <row r="1" spans="1:71" ht="45" customHeight="1" x14ac:dyDescent="0.3">
      <c r="A1" s="55" t="s">
        <v>46</v>
      </c>
      <c r="B1" s="55" t="s">
        <v>208</v>
      </c>
      <c r="C1" s="55" t="s">
        <v>209</v>
      </c>
      <c r="D1" s="55" t="s">
        <v>47</v>
      </c>
      <c r="E1" s="55" t="s">
        <v>210</v>
      </c>
      <c r="F1" s="55" t="s">
        <v>211</v>
      </c>
      <c r="G1" s="55" t="s">
        <v>212</v>
      </c>
      <c r="H1" s="55" t="s">
        <v>213</v>
      </c>
      <c r="I1" s="55" t="s">
        <v>214</v>
      </c>
      <c r="J1" s="55" t="s">
        <v>215</v>
      </c>
      <c r="K1" s="55" t="s">
        <v>667</v>
      </c>
      <c r="L1" s="55" t="s">
        <v>666</v>
      </c>
      <c r="M1" s="55" t="s">
        <v>218</v>
      </c>
      <c r="N1" s="55" t="s">
        <v>219</v>
      </c>
      <c r="O1" s="55" t="s">
        <v>665</v>
      </c>
      <c r="P1" s="55" t="s">
        <v>221</v>
      </c>
      <c r="Q1" s="55" t="s">
        <v>222</v>
      </c>
      <c r="R1" s="55" t="s">
        <v>668</v>
      </c>
      <c r="S1" s="55" t="s">
        <v>224</v>
      </c>
      <c r="T1" s="55" t="s">
        <v>669</v>
      </c>
      <c r="U1" s="55" t="s">
        <v>226</v>
      </c>
      <c r="V1" s="55" t="s">
        <v>227</v>
      </c>
      <c r="W1" s="55" t="s">
        <v>228</v>
      </c>
      <c r="X1" s="55" t="s">
        <v>229</v>
      </c>
      <c r="Y1" s="55" t="s">
        <v>670</v>
      </c>
      <c r="Z1" s="55" t="s">
        <v>671</v>
      </c>
      <c r="AA1" s="55" t="s">
        <v>232</v>
      </c>
      <c r="AB1" s="55" t="s">
        <v>672</v>
      </c>
      <c r="AC1" s="55" t="s">
        <v>673</v>
      </c>
      <c r="AD1" s="55" t="s">
        <v>235</v>
      </c>
      <c r="AE1" s="55" t="s">
        <v>236</v>
      </c>
      <c r="AF1" s="55" t="s">
        <v>237</v>
      </c>
      <c r="AG1" s="55" t="s">
        <v>674</v>
      </c>
      <c r="AH1" s="55" t="s">
        <v>675</v>
      </c>
      <c r="AI1" s="55" t="s">
        <v>676</v>
      </c>
      <c r="AJ1" s="55" t="s">
        <v>677</v>
      </c>
      <c r="AK1" s="55" t="s">
        <v>242</v>
      </c>
      <c r="AL1" s="55" t="s">
        <v>243</v>
      </c>
      <c r="AM1" s="55" t="s">
        <v>244</v>
      </c>
      <c r="AN1" s="55" t="s">
        <v>245</v>
      </c>
      <c r="AO1" s="55" t="s">
        <v>67</v>
      </c>
      <c r="AP1" s="55" t="s">
        <v>678</v>
      </c>
      <c r="AQ1" s="55" t="s">
        <v>247</v>
      </c>
      <c r="AR1" s="55" t="s">
        <v>248</v>
      </c>
      <c r="AS1" s="55" t="s">
        <v>249</v>
      </c>
      <c r="AT1" s="55" t="s">
        <v>250</v>
      </c>
      <c r="AU1" s="55" t="s">
        <v>251</v>
      </c>
      <c r="AV1" s="55" t="s">
        <v>252</v>
      </c>
      <c r="AW1" s="55" t="s">
        <v>53</v>
      </c>
      <c r="AX1" s="55" t="s">
        <v>253</v>
      </c>
      <c r="AY1" s="55" t="s">
        <v>254</v>
      </c>
      <c r="AZ1" s="55" t="s">
        <v>255</v>
      </c>
      <c r="BA1" s="55" t="s">
        <v>679</v>
      </c>
      <c r="BB1" s="55" t="s">
        <v>257</v>
      </c>
      <c r="BC1" s="55" t="s">
        <v>604</v>
      </c>
      <c r="BD1" s="55" t="s">
        <v>259</v>
      </c>
      <c r="BE1" s="55" t="s">
        <v>260</v>
      </c>
      <c r="BF1" s="55" t="s">
        <v>261</v>
      </c>
      <c r="BG1" s="55" t="s">
        <v>262</v>
      </c>
      <c r="BH1" s="55" t="s">
        <v>263</v>
      </c>
      <c r="BI1" s="55" t="s">
        <v>264</v>
      </c>
      <c r="BJ1" s="55" t="s">
        <v>265</v>
      </c>
      <c r="BK1" s="55" t="s">
        <v>680</v>
      </c>
      <c r="BL1" s="55" t="s">
        <v>681</v>
      </c>
      <c r="BM1" s="55" t="s">
        <v>268</v>
      </c>
      <c r="BN1" s="55" t="s">
        <v>682</v>
      </c>
      <c r="BO1" s="55" t="s">
        <v>270</v>
      </c>
      <c r="BP1" s="55" t="s">
        <v>683</v>
      </c>
      <c r="BQ1" s="55" t="s">
        <v>272</v>
      </c>
      <c r="BR1" s="55" t="s">
        <v>273</v>
      </c>
      <c r="BS1" s="55" t="s">
        <v>274</v>
      </c>
    </row>
    <row r="2" spans="1:71" s="164" customFormat="1" ht="30" customHeight="1" x14ac:dyDescent="0.3">
      <c r="A2" s="238">
        <v>1</v>
      </c>
      <c r="B2" s="238" t="s">
        <v>91</v>
      </c>
      <c r="C2" s="238" t="s">
        <v>77</v>
      </c>
      <c r="D2" s="238">
        <v>16665</v>
      </c>
      <c r="E2" s="238">
        <v>2026</v>
      </c>
      <c r="F2" s="238" t="s">
        <v>275</v>
      </c>
      <c r="G2" s="238">
        <v>2</v>
      </c>
      <c r="H2" s="238">
        <v>6</v>
      </c>
      <c r="I2" s="238" t="s">
        <v>703</v>
      </c>
      <c r="J2" s="239">
        <v>1270000</v>
      </c>
      <c r="K2" s="239">
        <v>18788000</v>
      </c>
      <c r="L2" s="239">
        <v>0</v>
      </c>
      <c r="M2" s="239">
        <v>7815000</v>
      </c>
      <c r="N2" s="239">
        <v>0</v>
      </c>
      <c r="O2" s="239">
        <v>0</v>
      </c>
      <c r="P2" s="239">
        <v>7398000</v>
      </c>
      <c r="Q2" s="242">
        <v>35271000</v>
      </c>
      <c r="R2" s="239">
        <v>18030000</v>
      </c>
      <c r="S2" s="239">
        <v>642000</v>
      </c>
      <c r="T2" s="239">
        <v>0</v>
      </c>
      <c r="U2" s="239">
        <v>0</v>
      </c>
      <c r="V2" s="239">
        <v>84231000</v>
      </c>
      <c r="W2" s="239">
        <v>40733000</v>
      </c>
      <c r="X2" s="242">
        <v>43498000</v>
      </c>
      <c r="Y2" s="239">
        <v>11800000</v>
      </c>
      <c r="Z2" s="242">
        <v>73970000</v>
      </c>
      <c r="AA2" s="242">
        <v>109241000</v>
      </c>
      <c r="AB2" s="239">
        <v>605000</v>
      </c>
      <c r="AC2" s="239">
        <v>4792000</v>
      </c>
      <c r="AD2" s="239">
        <v>58442000</v>
      </c>
      <c r="AE2" s="239">
        <v>14108000</v>
      </c>
      <c r="AF2" s="242">
        <v>77947000</v>
      </c>
      <c r="AG2" s="239">
        <v>27811000</v>
      </c>
      <c r="AH2" s="239">
        <v>0</v>
      </c>
      <c r="AI2" s="239">
        <v>12581000</v>
      </c>
      <c r="AJ2" s="242">
        <v>40392000</v>
      </c>
      <c r="AK2" s="242">
        <v>118339000</v>
      </c>
      <c r="AL2" s="239">
        <v>-29121000</v>
      </c>
      <c r="AM2" s="239">
        <v>13636000</v>
      </c>
      <c r="AN2" s="239">
        <v>6387000</v>
      </c>
      <c r="AO2" s="242">
        <v>-9098000</v>
      </c>
      <c r="AP2" s="242">
        <v>109241000</v>
      </c>
      <c r="AQ2" s="239">
        <v>66023000</v>
      </c>
      <c r="AR2" s="239">
        <v>0</v>
      </c>
      <c r="AS2" s="239">
        <v>5627000</v>
      </c>
      <c r="AT2" s="239">
        <v>0</v>
      </c>
      <c r="AU2" s="239">
        <v>0</v>
      </c>
      <c r="AV2" s="239">
        <v>0</v>
      </c>
      <c r="AW2" s="242">
        <v>71650000</v>
      </c>
      <c r="AX2" s="239">
        <v>-53000</v>
      </c>
      <c r="AY2" s="239">
        <v>0</v>
      </c>
      <c r="AZ2" s="239">
        <v>950000</v>
      </c>
      <c r="BA2" s="239">
        <v>-201000</v>
      </c>
      <c r="BB2" s="239">
        <v>0</v>
      </c>
      <c r="BC2" s="242">
        <v>696000</v>
      </c>
      <c r="BD2" s="242">
        <v>72346000</v>
      </c>
      <c r="BE2" s="239">
        <v>38693000</v>
      </c>
      <c r="BF2" s="239">
        <v>0</v>
      </c>
      <c r="BG2" s="239">
        <v>3514000</v>
      </c>
      <c r="BH2" s="239">
        <v>498000</v>
      </c>
      <c r="BI2" s="239">
        <v>1183000</v>
      </c>
      <c r="BJ2" s="239">
        <v>33171000</v>
      </c>
      <c r="BK2" s="239">
        <v>0</v>
      </c>
      <c r="BL2" s="242">
        <v>77059000</v>
      </c>
      <c r="BM2" s="242">
        <v>-4713000</v>
      </c>
      <c r="BN2" s="239">
        <v>3000</v>
      </c>
      <c r="BO2" s="239">
        <v>92000</v>
      </c>
      <c r="BP2" s="239">
        <v>-4618000</v>
      </c>
      <c r="BQ2" s="239">
        <v>0</v>
      </c>
      <c r="BR2" s="239">
        <v>0</v>
      </c>
      <c r="BS2" s="242">
        <v>-4618000</v>
      </c>
    </row>
    <row r="3" spans="1:71" s="202" customFormat="1" ht="30" customHeight="1" x14ac:dyDescent="0.3">
      <c r="A3" s="238">
        <v>2</v>
      </c>
      <c r="B3" s="238" t="s">
        <v>135</v>
      </c>
      <c r="C3" s="238" t="s">
        <v>77</v>
      </c>
      <c r="D3" s="238">
        <v>12807</v>
      </c>
      <c r="E3" s="238">
        <v>2026</v>
      </c>
      <c r="F3" s="238" t="s">
        <v>275</v>
      </c>
      <c r="G3" s="238">
        <v>2</v>
      </c>
      <c r="H3" s="238">
        <v>6</v>
      </c>
      <c r="I3" s="238" t="s">
        <v>703</v>
      </c>
      <c r="J3" s="239">
        <v>3206703</v>
      </c>
      <c r="K3" s="239">
        <v>0</v>
      </c>
      <c r="L3" s="239">
        <v>0</v>
      </c>
      <c r="M3" s="239">
        <v>6553271</v>
      </c>
      <c r="N3" s="239">
        <v>476176</v>
      </c>
      <c r="O3" s="239">
        <v>0</v>
      </c>
      <c r="P3" s="239">
        <v>773467</v>
      </c>
      <c r="Q3" s="242">
        <v>11009617</v>
      </c>
      <c r="R3" s="239">
        <v>2078889</v>
      </c>
      <c r="S3" s="239">
        <v>0</v>
      </c>
      <c r="T3" s="239">
        <v>0</v>
      </c>
      <c r="U3" s="239">
        <v>0</v>
      </c>
      <c r="V3" s="239">
        <v>20002879</v>
      </c>
      <c r="W3" s="239">
        <v>16020125</v>
      </c>
      <c r="X3" s="242">
        <v>3982754</v>
      </c>
      <c r="Y3" s="239">
        <v>16665000</v>
      </c>
      <c r="Z3" s="242">
        <v>22726643</v>
      </c>
      <c r="AA3" s="242">
        <v>33736260</v>
      </c>
      <c r="AB3" s="239">
        <v>0</v>
      </c>
      <c r="AC3" s="239">
        <v>3115821</v>
      </c>
      <c r="AD3" s="239">
        <v>7348169</v>
      </c>
      <c r="AE3" s="239">
        <v>4081383</v>
      </c>
      <c r="AF3" s="242">
        <v>14545373</v>
      </c>
      <c r="AG3" s="239">
        <v>0</v>
      </c>
      <c r="AH3" s="239">
        <v>0</v>
      </c>
      <c r="AI3" s="239">
        <v>5000</v>
      </c>
      <c r="AJ3" s="242">
        <v>5000</v>
      </c>
      <c r="AK3" s="242">
        <v>14550373</v>
      </c>
      <c r="AL3" s="239">
        <v>17095489</v>
      </c>
      <c r="AM3" s="239">
        <v>0</v>
      </c>
      <c r="AN3" s="239">
        <v>2090398</v>
      </c>
      <c r="AO3" s="242">
        <v>19185887</v>
      </c>
      <c r="AP3" s="242">
        <v>33736260</v>
      </c>
      <c r="AQ3" s="239">
        <v>20694681</v>
      </c>
      <c r="AR3" s="239">
        <v>0</v>
      </c>
      <c r="AS3" s="239">
        <v>2258302</v>
      </c>
      <c r="AT3" s="239">
        <v>0</v>
      </c>
      <c r="AU3" s="239">
        <v>0</v>
      </c>
      <c r="AV3" s="239">
        <v>0</v>
      </c>
      <c r="AW3" s="242">
        <v>22952983</v>
      </c>
      <c r="AX3" s="239">
        <v>1980</v>
      </c>
      <c r="AY3" s="239">
        <v>18890</v>
      </c>
      <c r="AZ3" s="239">
        <v>0</v>
      </c>
      <c r="BA3" s="239">
        <v>0</v>
      </c>
      <c r="BB3" s="239">
        <v>0</v>
      </c>
      <c r="BC3" s="242">
        <v>20870</v>
      </c>
      <c r="BD3" s="242">
        <v>22973853</v>
      </c>
      <c r="BE3" s="239">
        <v>7745648</v>
      </c>
      <c r="BF3" s="239">
        <v>0</v>
      </c>
      <c r="BG3" s="239">
        <v>323570</v>
      </c>
      <c r="BH3" s="239">
        <v>0</v>
      </c>
      <c r="BI3" s="239">
        <v>155556</v>
      </c>
      <c r="BJ3" s="239">
        <v>13494831</v>
      </c>
      <c r="BK3" s="239">
        <v>0</v>
      </c>
      <c r="BL3" s="242">
        <v>21719605</v>
      </c>
      <c r="BM3" s="242">
        <v>1254248</v>
      </c>
      <c r="BN3" s="239">
        <v>-15857252</v>
      </c>
      <c r="BO3" s="239">
        <v>0</v>
      </c>
      <c r="BP3" s="239">
        <v>-14603004</v>
      </c>
      <c r="BQ3" s="239">
        <v>0</v>
      </c>
      <c r="BR3" s="239">
        <v>0</v>
      </c>
      <c r="BS3" s="242">
        <v>-14603004</v>
      </c>
    </row>
    <row r="4" spans="1:71" s="164" customFormat="1" ht="30" customHeight="1" x14ac:dyDescent="0.3">
      <c r="A4" s="233">
        <v>4</v>
      </c>
      <c r="B4" s="233" t="s">
        <v>79</v>
      </c>
      <c r="C4" s="233" t="s">
        <v>77</v>
      </c>
      <c r="D4" s="233">
        <v>4066</v>
      </c>
      <c r="E4" s="233">
        <v>2026</v>
      </c>
      <c r="F4" s="233" t="s">
        <v>275</v>
      </c>
      <c r="G4" s="233">
        <v>2</v>
      </c>
      <c r="H4" s="233">
        <v>6</v>
      </c>
      <c r="I4" s="233" t="s">
        <v>703</v>
      </c>
      <c r="J4" s="234">
        <v>124866000</v>
      </c>
      <c r="K4" s="234">
        <v>100601000</v>
      </c>
      <c r="L4" s="234">
        <v>0</v>
      </c>
      <c r="M4" s="234">
        <v>191512000</v>
      </c>
      <c r="N4" s="234">
        <v>96398000</v>
      </c>
      <c r="O4" s="234">
        <v>42000000</v>
      </c>
      <c r="P4" s="234">
        <v>45412000</v>
      </c>
      <c r="Q4" s="242">
        <v>600789000</v>
      </c>
      <c r="R4" s="234">
        <v>408816000</v>
      </c>
      <c r="S4" s="234">
        <v>0</v>
      </c>
      <c r="T4" s="234">
        <v>16912000</v>
      </c>
      <c r="U4" s="234">
        <v>18474000</v>
      </c>
      <c r="V4" s="234">
        <v>1812279000</v>
      </c>
      <c r="W4" s="234">
        <v>1199546000</v>
      </c>
      <c r="X4" s="242">
        <v>612733000</v>
      </c>
      <c r="Y4" s="234">
        <v>27486000</v>
      </c>
      <c r="Z4" s="242">
        <v>1084421000</v>
      </c>
      <c r="AA4" s="242">
        <v>1685210000</v>
      </c>
      <c r="AB4" s="234">
        <v>27584000</v>
      </c>
      <c r="AC4" s="234">
        <v>35035000</v>
      </c>
      <c r="AD4" s="234">
        <v>67000</v>
      </c>
      <c r="AE4" s="234">
        <v>154224000</v>
      </c>
      <c r="AF4" s="242">
        <v>216910000</v>
      </c>
      <c r="AG4" s="234">
        <v>431409000</v>
      </c>
      <c r="AH4" s="234">
        <v>0</v>
      </c>
      <c r="AI4" s="234">
        <v>47910000</v>
      </c>
      <c r="AJ4" s="242">
        <v>479319000</v>
      </c>
      <c r="AK4" s="242">
        <v>696229000</v>
      </c>
      <c r="AL4" s="234">
        <v>969026000</v>
      </c>
      <c r="AM4" s="234">
        <v>14097000</v>
      </c>
      <c r="AN4" s="234">
        <v>5858000</v>
      </c>
      <c r="AO4" s="242">
        <v>988981000</v>
      </c>
      <c r="AP4" s="242">
        <v>1685210000</v>
      </c>
      <c r="AQ4" s="234">
        <v>930317000</v>
      </c>
      <c r="AR4" s="234">
        <v>0</v>
      </c>
      <c r="AS4" s="234">
        <v>71183000</v>
      </c>
      <c r="AT4" s="234">
        <v>0</v>
      </c>
      <c r="AU4" s="234">
        <v>0</v>
      </c>
      <c r="AV4" s="234">
        <v>277000</v>
      </c>
      <c r="AW4" s="242">
        <v>1001777000</v>
      </c>
      <c r="AX4" s="234">
        <v>8991000</v>
      </c>
      <c r="AY4" s="234">
        <v>0</v>
      </c>
      <c r="AZ4" s="234">
        <v>-3104000</v>
      </c>
      <c r="BA4" s="234">
        <v>2987000</v>
      </c>
      <c r="BB4" s="234">
        <v>100000</v>
      </c>
      <c r="BC4" s="242">
        <v>8974000</v>
      </c>
      <c r="BD4" s="242">
        <v>1010751000</v>
      </c>
      <c r="BE4" s="234">
        <v>347547000</v>
      </c>
      <c r="BF4" s="234">
        <v>0</v>
      </c>
      <c r="BG4" s="234">
        <v>31971000</v>
      </c>
      <c r="BH4" s="234">
        <v>6684000</v>
      </c>
      <c r="BI4" s="234">
        <v>74950000</v>
      </c>
      <c r="BJ4" s="234">
        <v>529859000</v>
      </c>
      <c r="BK4" s="234">
        <v>2041000</v>
      </c>
      <c r="BL4" s="242">
        <v>993052000</v>
      </c>
      <c r="BM4" s="242">
        <v>17699000</v>
      </c>
      <c r="BN4" s="234">
        <v>-50000000</v>
      </c>
      <c r="BO4" s="234">
        <v>572000</v>
      </c>
      <c r="BP4" s="234">
        <v>-31729000</v>
      </c>
      <c r="BQ4" s="234">
        <v>0</v>
      </c>
      <c r="BR4" s="234">
        <v>0</v>
      </c>
      <c r="BS4" s="242">
        <v>-31729000</v>
      </c>
    </row>
    <row r="5" spans="1:71" s="202" customFormat="1" ht="30" customHeight="1" x14ac:dyDescent="0.3">
      <c r="A5" s="238">
        <v>5</v>
      </c>
      <c r="B5" s="238" t="s">
        <v>76</v>
      </c>
      <c r="C5" s="238" t="s">
        <v>77</v>
      </c>
      <c r="D5" s="238">
        <v>4066</v>
      </c>
      <c r="E5" s="238">
        <v>2026</v>
      </c>
      <c r="F5" s="238" t="s">
        <v>275</v>
      </c>
      <c r="G5" s="238">
        <v>2</v>
      </c>
      <c r="H5" s="238">
        <v>6</v>
      </c>
      <c r="I5" s="238" t="s">
        <v>703</v>
      </c>
      <c r="J5" s="239">
        <v>20239000</v>
      </c>
      <c r="K5" s="239">
        <v>517000</v>
      </c>
      <c r="L5" s="239">
        <v>0</v>
      </c>
      <c r="M5" s="239">
        <v>10823000</v>
      </c>
      <c r="N5" s="239">
        <v>318000</v>
      </c>
      <c r="O5" s="239">
        <v>1627000</v>
      </c>
      <c r="P5" s="239">
        <v>3244000</v>
      </c>
      <c r="Q5" s="242">
        <v>36768000</v>
      </c>
      <c r="R5" s="239">
        <v>6843000</v>
      </c>
      <c r="S5" s="239">
        <v>0</v>
      </c>
      <c r="T5" s="239">
        <v>14645000</v>
      </c>
      <c r="U5" s="239">
        <v>460000</v>
      </c>
      <c r="V5" s="239">
        <v>173944000</v>
      </c>
      <c r="W5" s="239">
        <v>131032000</v>
      </c>
      <c r="X5" s="242">
        <v>42912000</v>
      </c>
      <c r="Y5" s="239">
        <v>0</v>
      </c>
      <c r="Z5" s="242">
        <v>64860000</v>
      </c>
      <c r="AA5" s="242">
        <v>101628000</v>
      </c>
      <c r="AB5" s="239">
        <v>811000</v>
      </c>
      <c r="AC5" s="239">
        <v>4042000</v>
      </c>
      <c r="AD5" s="239">
        <v>1958000</v>
      </c>
      <c r="AE5" s="239">
        <v>11357000</v>
      </c>
      <c r="AF5" s="242">
        <v>18168000</v>
      </c>
      <c r="AG5" s="239">
        <v>15431000</v>
      </c>
      <c r="AH5" s="239">
        <v>0</v>
      </c>
      <c r="AI5" s="239">
        <v>231000</v>
      </c>
      <c r="AJ5" s="242">
        <v>15662000</v>
      </c>
      <c r="AK5" s="242">
        <v>33830000</v>
      </c>
      <c r="AL5" s="239">
        <v>46896000</v>
      </c>
      <c r="AM5" s="239">
        <v>10310000</v>
      </c>
      <c r="AN5" s="239">
        <v>10592000</v>
      </c>
      <c r="AO5" s="242">
        <v>67798000</v>
      </c>
      <c r="AP5" s="242">
        <v>101628000</v>
      </c>
      <c r="AQ5" s="239">
        <v>67625000</v>
      </c>
      <c r="AR5" s="239">
        <v>0</v>
      </c>
      <c r="AS5" s="239">
        <v>9154000</v>
      </c>
      <c r="AT5" s="239">
        <v>0</v>
      </c>
      <c r="AU5" s="239">
        <v>0</v>
      </c>
      <c r="AV5" s="239">
        <v>67000</v>
      </c>
      <c r="AW5" s="242">
        <v>76846000</v>
      </c>
      <c r="AX5" s="239">
        <v>9000</v>
      </c>
      <c r="AY5" s="239">
        <v>0</v>
      </c>
      <c r="AZ5" s="239">
        <v>-35000</v>
      </c>
      <c r="BA5" s="239">
        <v>34000</v>
      </c>
      <c r="BB5" s="239">
        <v>-3000</v>
      </c>
      <c r="BC5" s="242">
        <v>5000</v>
      </c>
      <c r="BD5" s="242">
        <v>76851000</v>
      </c>
      <c r="BE5" s="239">
        <v>27905000</v>
      </c>
      <c r="BF5" s="239">
        <v>0</v>
      </c>
      <c r="BG5" s="239">
        <v>2380000</v>
      </c>
      <c r="BH5" s="239">
        <v>355000</v>
      </c>
      <c r="BI5" s="239">
        <v>4912000</v>
      </c>
      <c r="BJ5" s="239">
        <v>40148000</v>
      </c>
      <c r="BK5" s="239">
        <v>60000</v>
      </c>
      <c r="BL5" s="242">
        <v>75760000</v>
      </c>
      <c r="BM5" s="242">
        <v>1091000</v>
      </c>
      <c r="BN5" s="239">
        <v>0</v>
      </c>
      <c r="BO5" s="239">
        <v>20000</v>
      </c>
      <c r="BP5" s="239">
        <v>1111000</v>
      </c>
      <c r="BQ5" s="239">
        <v>0</v>
      </c>
      <c r="BR5" s="239">
        <v>0</v>
      </c>
      <c r="BS5" s="242">
        <v>1111000</v>
      </c>
    </row>
    <row r="6" spans="1:71" s="164" customFormat="1" ht="30" customHeight="1" x14ac:dyDescent="0.3">
      <c r="A6" s="238">
        <v>8</v>
      </c>
      <c r="B6" s="238" t="s">
        <v>87</v>
      </c>
      <c r="C6" s="238" t="s">
        <v>77</v>
      </c>
      <c r="D6" s="238">
        <v>3106</v>
      </c>
      <c r="E6" s="238">
        <v>2026</v>
      </c>
      <c r="F6" s="238" t="s">
        <v>275</v>
      </c>
      <c r="G6" s="238">
        <v>2</v>
      </c>
      <c r="H6" s="238">
        <v>6</v>
      </c>
      <c r="I6" s="238" t="s">
        <v>703</v>
      </c>
      <c r="J6" s="239">
        <v>57796833</v>
      </c>
      <c r="K6" s="239">
        <v>0</v>
      </c>
      <c r="L6" s="239">
        <v>0</v>
      </c>
      <c r="M6" s="239">
        <v>8899706</v>
      </c>
      <c r="N6" s="239">
        <v>0</v>
      </c>
      <c r="O6" s="239">
        <v>0</v>
      </c>
      <c r="P6" s="239">
        <v>1573682</v>
      </c>
      <c r="Q6" s="242">
        <v>68270221</v>
      </c>
      <c r="R6" s="239">
        <v>50784430</v>
      </c>
      <c r="S6" s="239">
        <v>0</v>
      </c>
      <c r="T6" s="239">
        <v>0</v>
      </c>
      <c r="U6" s="239">
        <v>0</v>
      </c>
      <c r="V6" s="239">
        <v>47099346</v>
      </c>
      <c r="W6" s="239">
        <v>29756713</v>
      </c>
      <c r="X6" s="242">
        <v>17342633</v>
      </c>
      <c r="Y6" s="239">
        <v>733502</v>
      </c>
      <c r="Z6" s="242">
        <v>68860565</v>
      </c>
      <c r="AA6" s="242">
        <v>137130786</v>
      </c>
      <c r="AB6" s="239">
        <v>235680</v>
      </c>
      <c r="AC6" s="239">
        <v>9214499</v>
      </c>
      <c r="AD6" s="239">
        <v>1191983</v>
      </c>
      <c r="AE6" s="239">
        <v>7744079</v>
      </c>
      <c r="AF6" s="242">
        <v>18386241</v>
      </c>
      <c r="AG6" s="239">
        <v>1390520</v>
      </c>
      <c r="AH6" s="239">
        <v>0</v>
      </c>
      <c r="AI6" s="239">
        <v>3148340</v>
      </c>
      <c r="AJ6" s="242">
        <v>4538860</v>
      </c>
      <c r="AK6" s="242">
        <v>22925101</v>
      </c>
      <c r="AL6" s="239">
        <v>106035519</v>
      </c>
      <c r="AM6" s="239">
        <v>7911924</v>
      </c>
      <c r="AN6" s="239">
        <v>258242</v>
      </c>
      <c r="AO6" s="242">
        <v>114205685</v>
      </c>
      <c r="AP6" s="242">
        <v>137130786</v>
      </c>
      <c r="AQ6" s="239">
        <v>39997869</v>
      </c>
      <c r="AR6" s="239">
        <v>890764</v>
      </c>
      <c r="AS6" s="239">
        <v>5369787</v>
      </c>
      <c r="AT6" s="239">
        <v>0</v>
      </c>
      <c r="AU6" s="239">
        <v>0</v>
      </c>
      <c r="AV6" s="239">
        <v>0</v>
      </c>
      <c r="AW6" s="242">
        <v>46258420</v>
      </c>
      <c r="AX6" s="239">
        <v>2754961</v>
      </c>
      <c r="AY6" s="239">
        <v>0</v>
      </c>
      <c r="AZ6" s="239">
        <v>-2800646</v>
      </c>
      <c r="BA6" s="239">
        <v>46954</v>
      </c>
      <c r="BB6" s="239">
        <v>0</v>
      </c>
      <c r="BC6" s="242">
        <v>1269</v>
      </c>
      <c r="BD6" s="242">
        <v>46259689</v>
      </c>
      <c r="BE6" s="239">
        <v>25405965</v>
      </c>
      <c r="BF6" s="239">
        <v>0</v>
      </c>
      <c r="BG6" s="239">
        <v>1284910</v>
      </c>
      <c r="BH6" s="239">
        <v>7580</v>
      </c>
      <c r="BI6" s="239">
        <v>397056</v>
      </c>
      <c r="BJ6" s="239">
        <v>17117087</v>
      </c>
      <c r="BK6" s="239">
        <v>0</v>
      </c>
      <c r="BL6" s="242">
        <v>44212598</v>
      </c>
      <c r="BM6" s="242">
        <v>2047091</v>
      </c>
      <c r="BN6" s="239">
        <v>-2013707</v>
      </c>
      <c r="BO6" s="239">
        <v>772940</v>
      </c>
      <c r="BP6" s="239">
        <v>806324</v>
      </c>
      <c r="BQ6" s="239">
        <v>0</v>
      </c>
      <c r="BR6" s="239">
        <v>0</v>
      </c>
      <c r="BS6" s="242">
        <v>806324</v>
      </c>
    </row>
    <row r="7" spans="1:71" s="202" customFormat="1" ht="30" customHeight="1" x14ac:dyDescent="0.3">
      <c r="A7" s="233">
        <v>22</v>
      </c>
      <c r="B7" s="233" t="s">
        <v>143</v>
      </c>
      <c r="C7" s="233" t="s">
        <v>77</v>
      </c>
      <c r="D7" s="233">
        <v>3791</v>
      </c>
      <c r="E7" s="233">
        <v>2026</v>
      </c>
      <c r="F7" s="233" t="s">
        <v>275</v>
      </c>
      <c r="G7" s="233">
        <v>2</v>
      </c>
      <c r="H7" s="233">
        <v>6</v>
      </c>
      <c r="I7" s="233" t="s">
        <v>703</v>
      </c>
      <c r="J7" s="234">
        <v>-59893000</v>
      </c>
      <c r="K7" s="234">
        <v>16094000</v>
      </c>
      <c r="L7" s="234">
        <v>220832000</v>
      </c>
      <c r="M7" s="234">
        <v>515671000</v>
      </c>
      <c r="N7" s="234">
        <v>298368000</v>
      </c>
      <c r="O7" s="234">
        <v>3093000</v>
      </c>
      <c r="P7" s="234">
        <v>306049000</v>
      </c>
      <c r="Q7" s="242">
        <v>1300214000</v>
      </c>
      <c r="R7" s="234">
        <v>1759088000</v>
      </c>
      <c r="S7" s="234">
        <v>47566000</v>
      </c>
      <c r="T7" s="234">
        <v>0</v>
      </c>
      <c r="U7" s="234">
        <v>0</v>
      </c>
      <c r="V7" s="234">
        <v>3724681000</v>
      </c>
      <c r="W7" s="234">
        <v>2291385000</v>
      </c>
      <c r="X7" s="242">
        <v>1433296000</v>
      </c>
      <c r="Y7" s="234">
        <v>745883000</v>
      </c>
      <c r="Z7" s="242">
        <v>3985833000</v>
      </c>
      <c r="AA7" s="242">
        <v>5286047000</v>
      </c>
      <c r="AB7" s="234">
        <v>139833000</v>
      </c>
      <c r="AC7" s="234">
        <v>19957000</v>
      </c>
      <c r="AD7" s="234">
        <v>463005000</v>
      </c>
      <c r="AE7" s="234">
        <v>419702000</v>
      </c>
      <c r="AF7" s="242">
        <v>1042497000</v>
      </c>
      <c r="AG7" s="234">
        <v>1111345000</v>
      </c>
      <c r="AH7" s="234">
        <v>0</v>
      </c>
      <c r="AI7" s="234">
        <v>154400000</v>
      </c>
      <c r="AJ7" s="242">
        <v>1265745000</v>
      </c>
      <c r="AK7" s="242">
        <v>2308242000</v>
      </c>
      <c r="AL7" s="234">
        <v>2398732000</v>
      </c>
      <c r="AM7" s="234">
        <v>579073000</v>
      </c>
      <c r="AN7" s="234">
        <v>0</v>
      </c>
      <c r="AO7" s="242">
        <v>2977805000</v>
      </c>
      <c r="AP7" s="242">
        <v>5286047000</v>
      </c>
      <c r="AQ7" s="234">
        <v>1712237000</v>
      </c>
      <c r="AR7" s="234">
        <v>0</v>
      </c>
      <c r="AS7" s="234">
        <v>723676000</v>
      </c>
      <c r="AT7" s="234">
        <v>0</v>
      </c>
      <c r="AU7" s="234">
        <v>0</v>
      </c>
      <c r="AV7" s="234">
        <v>0</v>
      </c>
      <c r="AW7" s="242">
        <v>2435913000</v>
      </c>
      <c r="AX7" s="234">
        <v>17785000</v>
      </c>
      <c r="AY7" s="234">
        <v>609000</v>
      </c>
      <c r="AZ7" s="234">
        <v>1422000</v>
      </c>
      <c r="BA7" s="234">
        <v>0</v>
      </c>
      <c r="BB7" s="234">
        <v>33137000</v>
      </c>
      <c r="BC7" s="242">
        <v>52953000</v>
      </c>
      <c r="BD7" s="242">
        <v>2488866000</v>
      </c>
      <c r="BE7" s="234">
        <v>841149000</v>
      </c>
      <c r="BF7" s="234">
        <v>0</v>
      </c>
      <c r="BG7" s="234">
        <v>79848000</v>
      </c>
      <c r="BH7" s="234">
        <v>21075000</v>
      </c>
      <c r="BI7" s="234">
        <v>10822000</v>
      </c>
      <c r="BJ7" s="234">
        <v>1363953000</v>
      </c>
      <c r="BK7" s="234">
        <v>0</v>
      </c>
      <c r="BL7" s="242">
        <v>2316847000</v>
      </c>
      <c r="BM7" s="242">
        <v>172019000</v>
      </c>
      <c r="BN7" s="234">
        <v>-68219000</v>
      </c>
      <c r="BO7" s="234">
        <v>3623000</v>
      </c>
      <c r="BP7" s="234">
        <v>107423000</v>
      </c>
      <c r="BQ7" s="234">
        <v>0</v>
      </c>
      <c r="BR7" s="234">
        <v>0</v>
      </c>
      <c r="BS7" s="242">
        <v>107423000</v>
      </c>
    </row>
    <row r="8" spans="1:71" s="164" customFormat="1" ht="30" customHeight="1" x14ac:dyDescent="0.3">
      <c r="A8" s="233">
        <v>25</v>
      </c>
      <c r="B8" s="233" t="s">
        <v>164</v>
      </c>
      <c r="C8" s="233" t="s">
        <v>77</v>
      </c>
      <c r="D8" s="233">
        <v>9991</v>
      </c>
      <c r="E8" s="233">
        <v>2026</v>
      </c>
      <c r="F8" s="233" t="s">
        <v>275</v>
      </c>
      <c r="G8" s="233">
        <v>2</v>
      </c>
      <c r="H8" s="233">
        <v>6</v>
      </c>
      <c r="I8" s="233" t="s">
        <v>703</v>
      </c>
      <c r="J8" s="234">
        <v>35315450</v>
      </c>
      <c r="K8" s="234">
        <v>0</v>
      </c>
      <c r="L8" s="234">
        <v>0</v>
      </c>
      <c r="M8" s="234">
        <v>37462472</v>
      </c>
      <c r="N8" s="234">
        <v>7881855</v>
      </c>
      <c r="O8" s="234">
        <v>30014410</v>
      </c>
      <c r="P8" s="234">
        <v>24835972</v>
      </c>
      <c r="Q8" s="242">
        <v>135510159</v>
      </c>
      <c r="R8" s="234">
        <v>103678766</v>
      </c>
      <c r="S8" s="234">
        <v>0</v>
      </c>
      <c r="T8" s="234">
        <v>0</v>
      </c>
      <c r="U8" s="234">
        <v>0</v>
      </c>
      <c r="V8" s="234">
        <v>392065226</v>
      </c>
      <c r="W8" s="234">
        <v>199068946</v>
      </c>
      <c r="X8" s="242">
        <v>192996280</v>
      </c>
      <c r="Y8" s="234">
        <v>42041417</v>
      </c>
      <c r="Z8" s="242">
        <v>338716463</v>
      </c>
      <c r="AA8" s="242">
        <v>474226622</v>
      </c>
      <c r="AB8" s="234">
        <v>8224215</v>
      </c>
      <c r="AC8" s="234">
        <v>28790191</v>
      </c>
      <c r="AD8" s="234">
        <v>0</v>
      </c>
      <c r="AE8" s="234">
        <v>86382356</v>
      </c>
      <c r="AF8" s="242">
        <v>123396762</v>
      </c>
      <c r="AG8" s="234">
        <v>86527753</v>
      </c>
      <c r="AH8" s="234">
        <v>0</v>
      </c>
      <c r="AI8" s="234">
        <v>13389525</v>
      </c>
      <c r="AJ8" s="242">
        <v>99917278</v>
      </c>
      <c r="AK8" s="242">
        <v>223314040</v>
      </c>
      <c r="AL8" s="234">
        <v>240446068</v>
      </c>
      <c r="AM8" s="234">
        <v>0</v>
      </c>
      <c r="AN8" s="234">
        <v>10466514</v>
      </c>
      <c r="AO8" s="242">
        <v>250912582</v>
      </c>
      <c r="AP8" s="242">
        <v>474226622</v>
      </c>
      <c r="AQ8" s="234">
        <v>164704189</v>
      </c>
      <c r="AR8" s="234">
        <v>24265011</v>
      </c>
      <c r="AS8" s="234">
        <v>57868970</v>
      </c>
      <c r="AT8" s="234">
        <v>0</v>
      </c>
      <c r="AU8" s="234">
        <v>0</v>
      </c>
      <c r="AV8" s="234">
        <v>232929</v>
      </c>
      <c r="AW8" s="242">
        <v>247071099</v>
      </c>
      <c r="AX8" s="234">
        <v>3915341</v>
      </c>
      <c r="AY8" s="234">
        <v>0</v>
      </c>
      <c r="AZ8" s="234">
        <v>0</v>
      </c>
      <c r="BA8" s="234">
        <v>0</v>
      </c>
      <c r="BB8" s="234">
        <v>10427983</v>
      </c>
      <c r="BC8" s="242">
        <v>14343324</v>
      </c>
      <c r="BD8" s="242">
        <v>261414423</v>
      </c>
      <c r="BE8" s="234">
        <v>126265119</v>
      </c>
      <c r="BF8" s="234">
        <v>0</v>
      </c>
      <c r="BG8" s="234">
        <v>8998134</v>
      </c>
      <c r="BH8" s="234">
        <v>1665390</v>
      </c>
      <c r="BI8" s="234">
        <v>4842480</v>
      </c>
      <c r="BJ8" s="234">
        <v>104699036</v>
      </c>
      <c r="BK8" s="234">
        <v>0</v>
      </c>
      <c r="BL8" s="242">
        <v>246470159</v>
      </c>
      <c r="BM8" s="242">
        <v>14944264</v>
      </c>
      <c r="BN8" s="234">
        <v>16974689</v>
      </c>
      <c r="BO8" s="234">
        <v>-19519185</v>
      </c>
      <c r="BP8" s="234">
        <v>12399768</v>
      </c>
      <c r="BQ8" s="234">
        <v>13327630</v>
      </c>
      <c r="BR8" s="234">
        <v>0</v>
      </c>
      <c r="BS8" s="242">
        <v>25727398</v>
      </c>
    </row>
    <row r="9" spans="1:71" s="202" customFormat="1" ht="30" customHeight="1" x14ac:dyDescent="0.3">
      <c r="A9" s="233">
        <v>39</v>
      </c>
      <c r="B9" s="233" t="s">
        <v>124</v>
      </c>
      <c r="C9" s="233" t="s">
        <v>77</v>
      </c>
      <c r="D9" s="233">
        <v>3109</v>
      </c>
      <c r="E9" s="233">
        <v>2026</v>
      </c>
      <c r="F9" s="233" t="s">
        <v>275</v>
      </c>
      <c r="G9" s="233">
        <v>2</v>
      </c>
      <c r="H9" s="233">
        <v>6</v>
      </c>
      <c r="I9" s="233" t="s">
        <v>703</v>
      </c>
      <c r="J9" s="234">
        <v>33277269</v>
      </c>
      <c r="K9" s="234">
        <v>5979546</v>
      </c>
      <c r="L9" s="234">
        <v>0</v>
      </c>
      <c r="M9" s="234">
        <v>71336499</v>
      </c>
      <c r="N9" s="234">
        <v>41201010</v>
      </c>
      <c r="O9" s="234">
        <v>0</v>
      </c>
      <c r="P9" s="234">
        <v>19204426</v>
      </c>
      <c r="Q9" s="242">
        <v>170998750</v>
      </c>
      <c r="R9" s="234">
        <v>36502562</v>
      </c>
      <c r="S9" s="234">
        <v>0</v>
      </c>
      <c r="T9" s="234">
        <v>0</v>
      </c>
      <c r="U9" s="234">
        <v>0</v>
      </c>
      <c r="V9" s="234">
        <v>731397073</v>
      </c>
      <c r="W9" s="234">
        <v>370166400</v>
      </c>
      <c r="X9" s="242">
        <v>361230673</v>
      </c>
      <c r="Y9" s="234">
        <v>251967677</v>
      </c>
      <c r="Z9" s="242">
        <v>649700912</v>
      </c>
      <c r="AA9" s="242">
        <v>820699662</v>
      </c>
      <c r="AB9" s="234">
        <v>13843353</v>
      </c>
      <c r="AC9" s="234">
        <v>8855081</v>
      </c>
      <c r="AD9" s="234">
        <v>3912941</v>
      </c>
      <c r="AE9" s="234">
        <v>57352476</v>
      </c>
      <c r="AF9" s="242">
        <v>83963851</v>
      </c>
      <c r="AG9" s="234">
        <v>89555308</v>
      </c>
      <c r="AH9" s="234">
        <v>0</v>
      </c>
      <c r="AI9" s="234">
        <v>5833787</v>
      </c>
      <c r="AJ9" s="242">
        <v>95389095</v>
      </c>
      <c r="AK9" s="242">
        <v>179352946</v>
      </c>
      <c r="AL9" s="234">
        <v>604836910</v>
      </c>
      <c r="AM9" s="234">
        <v>36509806</v>
      </c>
      <c r="AN9" s="234">
        <v>0</v>
      </c>
      <c r="AO9" s="242">
        <v>641346716</v>
      </c>
      <c r="AP9" s="242">
        <v>820699662</v>
      </c>
      <c r="AQ9" s="234">
        <v>371714894</v>
      </c>
      <c r="AR9" s="234">
        <v>0</v>
      </c>
      <c r="AS9" s="234">
        <v>4681604</v>
      </c>
      <c r="AT9" s="234">
        <v>0</v>
      </c>
      <c r="AU9" s="234">
        <v>0</v>
      </c>
      <c r="AV9" s="234">
        <v>87856</v>
      </c>
      <c r="AW9" s="242">
        <v>376484354</v>
      </c>
      <c r="AX9" s="234">
        <v>2748074</v>
      </c>
      <c r="AY9" s="234">
        <v>489910</v>
      </c>
      <c r="AZ9" s="234"/>
      <c r="BA9" s="234">
        <v>3371173</v>
      </c>
      <c r="BB9" s="234">
        <v>0</v>
      </c>
      <c r="BC9" s="242">
        <v>6609157</v>
      </c>
      <c r="BD9" s="242">
        <v>383093511</v>
      </c>
      <c r="BE9" s="234">
        <v>191313361</v>
      </c>
      <c r="BF9" s="234">
        <v>0</v>
      </c>
      <c r="BG9" s="234">
        <v>12871572</v>
      </c>
      <c r="BH9" s="234">
        <v>1026888</v>
      </c>
      <c r="BI9" s="234">
        <v>8184865</v>
      </c>
      <c r="BJ9" s="234">
        <v>154782446</v>
      </c>
      <c r="BK9" s="234">
        <v>0</v>
      </c>
      <c r="BL9" s="242">
        <v>368179132</v>
      </c>
      <c r="BM9" s="242">
        <v>14914379</v>
      </c>
      <c r="BN9" s="234">
        <v>-17937664</v>
      </c>
      <c r="BO9" s="234">
        <v>5833176</v>
      </c>
      <c r="BP9" s="234">
        <v>2809891</v>
      </c>
      <c r="BQ9" s="234">
        <v>0</v>
      </c>
      <c r="BR9" s="234">
        <v>0</v>
      </c>
      <c r="BS9" s="242">
        <v>2809891</v>
      </c>
    </row>
    <row r="10" spans="1:71" s="164" customFormat="1" ht="30" customHeight="1" x14ac:dyDescent="0.3">
      <c r="A10" s="238">
        <v>40</v>
      </c>
      <c r="B10" s="238" t="s">
        <v>125</v>
      </c>
      <c r="C10" s="238" t="s">
        <v>77</v>
      </c>
      <c r="D10" s="238">
        <v>3109</v>
      </c>
      <c r="E10" s="238">
        <v>2026</v>
      </c>
      <c r="F10" s="238" t="s">
        <v>275</v>
      </c>
      <c r="G10" s="238">
        <v>2</v>
      </c>
      <c r="H10" s="238">
        <v>6</v>
      </c>
      <c r="I10" s="238" t="s">
        <v>703</v>
      </c>
      <c r="J10" s="239">
        <v>923829</v>
      </c>
      <c r="K10" s="239">
        <v>3065224</v>
      </c>
      <c r="L10" s="239">
        <v>0</v>
      </c>
      <c r="M10" s="239">
        <v>17841460</v>
      </c>
      <c r="N10" s="239">
        <v>0</v>
      </c>
      <c r="O10" s="239">
        <v>0</v>
      </c>
      <c r="P10" s="239">
        <v>5342829</v>
      </c>
      <c r="Q10" s="242">
        <v>27173342</v>
      </c>
      <c r="R10" s="239">
        <v>22470331</v>
      </c>
      <c r="S10" s="239">
        <v>0</v>
      </c>
      <c r="T10" s="239">
        <v>0</v>
      </c>
      <c r="U10" s="239">
        <v>0</v>
      </c>
      <c r="V10" s="239">
        <v>220607896</v>
      </c>
      <c r="W10" s="239">
        <v>144729475</v>
      </c>
      <c r="X10" s="242">
        <v>75878421</v>
      </c>
      <c r="Y10" s="239">
        <v>251335503</v>
      </c>
      <c r="Z10" s="242">
        <v>349684255</v>
      </c>
      <c r="AA10" s="242">
        <v>376857597</v>
      </c>
      <c r="AB10" s="239">
        <v>2694240</v>
      </c>
      <c r="AC10" s="239">
        <v>2780986</v>
      </c>
      <c r="AD10" s="239">
        <v>54694591</v>
      </c>
      <c r="AE10" s="239">
        <v>14413464</v>
      </c>
      <c r="AF10" s="242">
        <v>74583281</v>
      </c>
      <c r="AG10" s="239">
        <v>10966892</v>
      </c>
      <c r="AH10" s="239">
        <v>0</v>
      </c>
      <c r="AI10" s="239">
        <v>535543</v>
      </c>
      <c r="AJ10" s="242">
        <v>11502435</v>
      </c>
      <c r="AK10" s="242">
        <v>86085716</v>
      </c>
      <c r="AL10" s="239">
        <v>268301550</v>
      </c>
      <c r="AM10" s="239">
        <v>22470331</v>
      </c>
      <c r="AN10" s="239">
        <v>0</v>
      </c>
      <c r="AO10" s="242">
        <v>290771881</v>
      </c>
      <c r="AP10" s="242">
        <v>376857597</v>
      </c>
      <c r="AQ10" s="239">
        <v>94805951</v>
      </c>
      <c r="AR10" s="239">
        <v>0</v>
      </c>
      <c r="AS10" s="239">
        <v>1213751</v>
      </c>
      <c r="AT10" s="239">
        <v>0</v>
      </c>
      <c r="AU10" s="239">
        <v>0</v>
      </c>
      <c r="AV10" s="239">
        <v>314971</v>
      </c>
      <c r="AW10" s="242">
        <v>96334673</v>
      </c>
      <c r="AX10" s="239">
        <v>2788010</v>
      </c>
      <c r="AY10" s="239">
        <v>519349</v>
      </c>
      <c r="AZ10" s="239"/>
      <c r="BA10" s="239">
        <v>3081288</v>
      </c>
      <c r="BB10" s="239">
        <v>0</v>
      </c>
      <c r="BC10" s="242">
        <v>6388647</v>
      </c>
      <c r="BD10" s="242">
        <v>102723320</v>
      </c>
      <c r="BE10" s="239">
        <v>56148500</v>
      </c>
      <c r="BF10" s="239">
        <v>0</v>
      </c>
      <c r="BG10" s="239">
        <v>3786941</v>
      </c>
      <c r="BH10" s="239">
        <v>122410</v>
      </c>
      <c r="BI10" s="239">
        <v>1977136</v>
      </c>
      <c r="BJ10" s="239">
        <v>38140920</v>
      </c>
      <c r="BK10" s="239">
        <v>0</v>
      </c>
      <c r="BL10" s="242">
        <v>100175907</v>
      </c>
      <c r="BM10" s="242">
        <v>2547413</v>
      </c>
      <c r="BN10" s="239">
        <v>-5917614</v>
      </c>
      <c r="BO10" s="239">
        <v>-546751</v>
      </c>
      <c r="BP10" s="239">
        <v>-3916952</v>
      </c>
      <c r="BQ10" s="239">
        <v>0</v>
      </c>
      <c r="BR10" s="239">
        <v>0</v>
      </c>
      <c r="BS10" s="242">
        <v>-3916952</v>
      </c>
    </row>
    <row r="11" spans="1:71" s="202" customFormat="1" ht="30" customHeight="1" x14ac:dyDescent="0.3">
      <c r="A11" s="233">
        <v>46</v>
      </c>
      <c r="B11" s="233" t="s">
        <v>115</v>
      </c>
      <c r="C11" s="233" t="s">
        <v>77</v>
      </c>
      <c r="D11" s="233">
        <v>14286</v>
      </c>
      <c r="E11" s="233">
        <v>2026</v>
      </c>
      <c r="F11" s="233" t="s">
        <v>275</v>
      </c>
      <c r="G11" s="233">
        <v>2</v>
      </c>
      <c r="H11" s="233">
        <v>6</v>
      </c>
      <c r="I11" s="233" t="s">
        <v>703</v>
      </c>
      <c r="J11" s="234">
        <v>790000</v>
      </c>
      <c r="K11" s="234">
        <v>0</v>
      </c>
      <c r="L11" s="234">
        <v>0</v>
      </c>
      <c r="M11" s="234">
        <v>408059000</v>
      </c>
      <c r="N11" s="234">
        <v>2528211000</v>
      </c>
      <c r="O11" s="234">
        <v>34627000</v>
      </c>
      <c r="P11" s="234">
        <v>415130000</v>
      </c>
      <c r="Q11" s="242">
        <v>3386817000</v>
      </c>
      <c r="R11" s="234">
        <v>2127145000</v>
      </c>
      <c r="S11" s="234">
        <v>227699000</v>
      </c>
      <c r="T11" s="234">
        <v>0</v>
      </c>
      <c r="U11" s="234">
        <v>0</v>
      </c>
      <c r="V11" s="234">
        <v>5852290338</v>
      </c>
      <c r="W11" s="234">
        <v>2918296000</v>
      </c>
      <c r="X11" s="242">
        <v>2933994338</v>
      </c>
      <c r="Y11" s="234">
        <v>647234000</v>
      </c>
      <c r="Z11" s="242">
        <v>5936072338</v>
      </c>
      <c r="AA11" s="242">
        <v>9322889338</v>
      </c>
      <c r="AB11" s="234">
        <v>0</v>
      </c>
      <c r="AC11" s="234">
        <v>13751000</v>
      </c>
      <c r="AD11" s="234">
        <v>0</v>
      </c>
      <c r="AE11" s="234">
        <v>640036000</v>
      </c>
      <c r="AF11" s="242">
        <v>653787000</v>
      </c>
      <c r="AG11" s="234">
        <v>2004291000</v>
      </c>
      <c r="AH11" s="234">
        <v>0</v>
      </c>
      <c r="AI11" s="234">
        <v>774716000</v>
      </c>
      <c r="AJ11" s="242">
        <v>2779007000</v>
      </c>
      <c r="AK11" s="242">
        <v>3432794000</v>
      </c>
      <c r="AL11" s="234">
        <v>3204507000</v>
      </c>
      <c r="AM11" s="234">
        <v>1515409000</v>
      </c>
      <c r="AN11" s="234">
        <v>1170179000</v>
      </c>
      <c r="AO11" s="242">
        <v>5890095000</v>
      </c>
      <c r="AP11" s="242">
        <v>9322889000</v>
      </c>
      <c r="AQ11" s="234">
        <v>1213273000</v>
      </c>
      <c r="AR11" s="234">
        <v>0</v>
      </c>
      <c r="AS11" s="234">
        <v>348161000</v>
      </c>
      <c r="AT11" s="234">
        <v>0</v>
      </c>
      <c r="AU11" s="234">
        <v>0</v>
      </c>
      <c r="AV11" s="234">
        <v>65069000</v>
      </c>
      <c r="AW11" s="242">
        <v>1626503000</v>
      </c>
      <c r="AX11" s="234">
        <v>18166000</v>
      </c>
      <c r="AY11" s="234">
        <v>16875000</v>
      </c>
      <c r="AZ11" s="234">
        <v>-3752000</v>
      </c>
      <c r="BA11" s="234">
        <v>-9488000</v>
      </c>
      <c r="BB11" s="234">
        <v>2867000</v>
      </c>
      <c r="BC11" s="242">
        <v>24668000</v>
      </c>
      <c r="BD11" s="242">
        <v>1651171000</v>
      </c>
      <c r="BE11" s="234">
        <v>730111000</v>
      </c>
      <c r="BF11" s="234">
        <v>0</v>
      </c>
      <c r="BG11" s="234">
        <v>99955000</v>
      </c>
      <c r="BH11" s="234">
        <v>24721000</v>
      </c>
      <c r="BI11" s="234">
        <v>37237000</v>
      </c>
      <c r="BJ11" s="234">
        <v>779343000</v>
      </c>
      <c r="BK11" s="234">
        <v>0</v>
      </c>
      <c r="BL11" s="242">
        <v>1671367000</v>
      </c>
      <c r="BM11" s="242">
        <v>-20196000</v>
      </c>
      <c r="BN11" s="234">
        <v>9129000</v>
      </c>
      <c r="BO11" s="234">
        <v>20197000</v>
      </c>
      <c r="BP11" s="234">
        <v>9130000</v>
      </c>
      <c r="BQ11" s="234">
        <v>0</v>
      </c>
      <c r="BR11" s="234">
        <v>0</v>
      </c>
      <c r="BS11" s="242">
        <v>9130000</v>
      </c>
    </row>
    <row r="12" spans="1:71" s="164" customFormat="1" ht="30" customHeight="1" x14ac:dyDescent="0.3">
      <c r="A12" s="238">
        <v>50</v>
      </c>
      <c r="B12" s="238" t="s">
        <v>144</v>
      </c>
      <c r="C12" s="238" t="s">
        <v>77</v>
      </c>
      <c r="D12" s="238">
        <v>3791</v>
      </c>
      <c r="E12" s="238">
        <v>2026</v>
      </c>
      <c r="F12" s="238" t="s">
        <v>275</v>
      </c>
      <c r="G12" s="238">
        <v>2</v>
      </c>
      <c r="H12" s="238">
        <v>6</v>
      </c>
      <c r="I12" s="238" t="s">
        <v>703</v>
      </c>
      <c r="J12" s="239">
        <v>-75178000</v>
      </c>
      <c r="K12" s="239">
        <v>-19075000</v>
      </c>
      <c r="L12" s="239">
        <v>8778000</v>
      </c>
      <c r="M12" s="239">
        <v>33392000</v>
      </c>
      <c r="N12" s="239">
        <v>8798000</v>
      </c>
      <c r="O12" s="239">
        <v>0</v>
      </c>
      <c r="P12" s="239">
        <v>10963000</v>
      </c>
      <c r="Q12" s="242">
        <v>-32322000</v>
      </c>
      <c r="R12" s="239">
        <v>16844000</v>
      </c>
      <c r="S12" s="239">
        <v>565000</v>
      </c>
      <c r="T12" s="239">
        <v>0</v>
      </c>
      <c r="U12" s="239">
        <v>0</v>
      </c>
      <c r="V12" s="239">
        <v>234587000</v>
      </c>
      <c r="W12" s="239">
        <v>153968000</v>
      </c>
      <c r="X12" s="242">
        <v>80619000</v>
      </c>
      <c r="Y12" s="239">
        <v>26851000</v>
      </c>
      <c r="Z12" s="242">
        <v>124879000</v>
      </c>
      <c r="AA12" s="242">
        <v>92557000</v>
      </c>
      <c r="AB12" s="239">
        <v>3243000</v>
      </c>
      <c r="AC12" s="239">
        <v>6975000</v>
      </c>
      <c r="AD12" s="239">
        <v>15010000</v>
      </c>
      <c r="AE12" s="239">
        <v>17366000</v>
      </c>
      <c r="AF12" s="242">
        <v>42594000</v>
      </c>
      <c r="AG12" s="239">
        <v>33626000</v>
      </c>
      <c r="AH12" s="239">
        <v>0</v>
      </c>
      <c r="AI12" s="239">
        <v>21451000</v>
      </c>
      <c r="AJ12" s="242">
        <v>55077000</v>
      </c>
      <c r="AK12" s="242">
        <v>97671000</v>
      </c>
      <c r="AL12" s="239">
        <v>-28766000</v>
      </c>
      <c r="AM12" s="239">
        <v>23652000</v>
      </c>
      <c r="AN12" s="239">
        <v>0</v>
      </c>
      <c r="AO12" s="242">
        <v>-5114000</v>
      </c>
      <c r="AP12" s="242">
        <v>92557000</v>
      </c>
      <c r="AQ12" s="239">
        <v>151381000</v>
      </c>
      <c r="AR12" s="239">
        <v>0</v>
      </c>
      <c r="AS12" s="239">
        <v>2015000</v>
      </c>
      <c r="AT12" s="239">
        <v>0</v>
      </c>
      <c r="AU12" s="239">
        <v>0</v>
      </c>
      <c r="AV12" s="239">
        <v>0</v>
      </c>
      <c r="AW12" s="242">
        <v>153396000</v>
      </c>
      <c r="AX12" s="239">
        <v>-541000</v>
      </c>
      <c r="AY12" s="239">
        <v>-863000</v>
      </c>
      <c r="AZ12" s="239">
        <v>3000</v>
      </c>
      <c r="BA12" s="239">
        <v>0</v>
      </c>
      <c r="BB12" s="239">
        <v>-2450000</v>
      </c>
      <c r="BC12" s="242">
        <v>-3851000</v>
      </c>
      <c r="BD12" s="242">
        <v>149545000</v>
      </c>
      <c r="BE12" s="239">
        <v>68636000</v>
      </c>
      <c r="BF12" s="239">
        <v>0</v>
      </c>
      <c r="BG12" s="239">
        <v>4983000</v>
      </c>
      <c r="BH12" s="239">
        <v>501000</v>
      </c>
      <c r="BI12" s="239">
        <v>706000</v>
      </c>
      <c r="BJ12" s="239">
        <v>72119000</v>
      </c>
      <c r="BK12" s="239">
        <v>0</v>
      </c>
      <c r="BL12" s="242">
        <v>146945000</v>
      </c>
      <c r="BM12" s="242">
        <v>2600000</v>
      </c>
      <c r="BN12" s="239">
        <v>-28294000</v>
      </c>
      <c r="BO12" s="239">
        <v>0</v>
      </c>
      <c r="BP12" s="239">
        <v>-25694000</v>
      </c>
      <c r="BQ12" s="239">
        <v>0</v>
      </c>
      <c r="BR12" s="239">
        <v>0</v>
      </c>
      <c r="BS12" s="242">
        <v>-25694000</v>
      </c>
    </row>
    <row r="13" spans="1:71" s="202" customFormat="1" ht="30" customHeight="1" x14ac:dyDescent="0.3">
      <c r="A13" s="238">
        <v>51</v>
      </c>
      <c r="B13" s="238" t="s">
        <v>129</v>
      </c>
      <c r="C13" s="238" t="s">
        <v>77</v>
      </c>
      <c r="D13" s="238">
        <v>13155</v>
      </c>
      <c r="E13" s="238">
        <v>2026</v>
      </c>
      <c r="F13" s="238" t="s">
        <v>275</v>
      </c>
      <c r="G13" s="238">
        <v>2</v>
      </c>
      <c r="H13" s="238">
        <v>6</v>
      </c>
      <c r="I13" s="238" t="s">
        <v>703</v>
      </c>
      <c r="J13" s="239">
        <v>121338995.63</v>
      </c>
      <c r="K13" s="239">
        <v>0</v>
      </c>
      <c r="L13" s="239">
        <v>757093.66</v>
      </c>
      <c r="M13" s="239">
        <v>265266903.5</v>
      </c>
      <c r="N13" s="239">
        <v>0</v>
      </c>
      <c r="O13" s="239">
        <v>0</v>
      </c>
      <c r="P13" s="239">
        <v>1164711468.8099999</v>
      </c>
      <c r="Q13" s="242">
        <v>1552074461.5999999</v>
      </c>
      <c r="R13" s="239">
        <v>0</v>
      </c>
      <c r="S13" s="239">
        <v>167846847.52000001</v>
      </c>
      <c r="T13" s="239">
        <v>0</v>
      </c>
      <c r="U13" s="239">
        <v>0</v>
      </c>
      <c r="V13" s="239">
        <v>2478483187.3499999</v>
      </c>
      <c r="W13" s="239">
        <v>1349089407.95</v>
      </c>
      <c r="X13" s="242">
        <v>1129393779.4000001</v>
      </c>
      <c r="Y13" s="239">
        <v>4227564467.0799999</v>
      </c>
      <c r="Z13" s="242">
        <v>5524805094</v>
      </c>
      <c r="AA13" s="242">
        <v>7076879555.6000004</v>
      </c>
      <c r="AB13" s="239">
        <v>7165665.1200000001</v>
      </c>
      <c r="AC13" s="239">
        <v>69997190.900000006</v>
      </c>
      <c r="AD13" s="239">
        <v>0</v>
      </c>
      <c r="AE13" s="239">
        <v>1182958565.8399999</v>
      </c>
      <c r="AF13" s="242">
        <v>1260121421.8599999</v>
      </c>
      <c r="AG13" s="239">
        <v>522780544.42000002</v>
      </c>
      <c r="AH13" s="239">
        <v>0</v>
      </c>
      <c r="AI13" s="239">
        <v>465077004.14999998</v>
      </c>
      <c r="AJ13" s="242">
        <v>987857548.57000005</v>
      </c>
      <c r="AK13" s="242">
        <v>2247978970.4299998</v>
      </c>
      <c r="AL13" s="239">
        <v>2471492414.8000002</v>
      </c>
      <c r="AM13" s="239">
        <v>1994395449.72</v>
      </c>
      <c r="AN13" s="239">
        <v>363012720.64999998</v>
      </c>
      <c r="AO13" s="242">
        <v>4828900585.1700001</v>
      </c>
      <c r="AP13" s="242">
        <v>7076879555.6000004</v>
      </c>
      <c r="AQ13" s="239">
        <v>1622452169.79</v>
      </c>
      <c r="AR13" s="239">
        <v>0</v>
      </c>
      <c r="AS13" s="239">
        <v>157140595.91999999</v>
      </c>
      <c r="AT13" s="239">
        <v>0</v>
      </c>
      <c r="AU13" s="239">
        <v>0</v>
      </c>
      <c r="AV13" s="239">
        <v>99488128.5</v>
      </c>
      <c r="AW13" s="242">
        <v>1879080894.21</v>
      </c>
      <c r="AX13" s="239">
        <v>-4244226.6900000004</v>
      </c>
      <c r="AY13" s="239">
        <v>218878816.77000001</v>
      </c>
      <c r="AZ13" s="239">
        <v>12965269.609999999</v>
      </c>
      <c r="BA13" s="239">
        <v>38228472.770000003</v>
      </c>
      <c r="BB13" s="239">
        <v>0</v>
      </c>
      <c r="BC13" s="242">
        <v>265828332.46000001</v>
      </c>
      <c r="BD13" s="242">
        <v>2144909226.6700001</v>
      </c>
      <c r="BE13" s="239">
        <v>535375244.75999999</v>
      </c>
      <c r="BF13" s="239">
        <v>0</v>
      </c>
      <c r="BG13" s="239">
        <v>52436815.990000002</v>
      </c>
      <c r="BH13" s="239">
        <v>6459560.3399999999</v>
      </c>
      <c r="BI13" s="239">
        <v>10397508</v>
      </c>
      <c r="BJ13" s="239">
        <v>1433204664.5599999</v>
      </c>
      <c r="BK13" s="239">
        <v>0</v>
      </c>
      <c r="BL13" s="242">
        <v>2037873793.6500001</v>
      </c>
      <c r="BM13" s="242">
        <v>107035433.02</v>
      </c>
      <c r="BN13" s="239">
        <v>0</v>
      </c>
      <c r="BO13" s="239">
        <v>0</v>
      </c>
      <c r="BP13" s="239">
        <v>107035433.02</v>
      </c>
      <c r="BQ13" s="239">
        <v>0</v>
      </c>
      <c r="BR13" s="239">
        <v>0</v>
      </c>
      <c r="BS13" s="242">
        <v>107035433.02</v>
      </c>
    </row>
    <row r="14" spans="1:71" s="164" customFormat="1" ht="30" customHeight="1" x14ac:dyDescent="0.3">
      <c r="A14" s="233">
        <v>53</v>
      </c>
      <c r="B14" s="233" t="s">
        <v>93</v>
      </c>
      <c r="C14" s="233" t="s">
        <v>77</v>
      </c>
      <c r="D14" s="233">
        <v>16665</v>
      </c>
      <c r="E14" s="233">
        <v>2026</v>
      </c>
      <c r="F14" s="233" t="s">
        <v>275</v>
      </c>
      <c r="G14" s="233">
        <v>2</v>
      </c>
      <c r="H14" s="233">
        <v>6</v>
      </c>
      <c r="I14" s="233" t="s">
        <v>703</v>
      </c>
      <c r="J14" s="234">
        <v>42000</v>
      </c>
      <c r="K14" s="234">
        <v>11901000</v>
      </c>
      <c r="L14" s="234">
        <v>0</v>
      </c>
      <c r="M14" s="234">
        <v>16316000</v>
      </c>
      <c r="N14" s="234">
        <v>41950000</v>
      </c>
      <c r="O14" s="234">
        <v>0</v>
      </c>
      <c r="P14" s="234">
        <v>3295000</v>
      </c>
      <c r="Q14" s="242">
        <v>73504000</v>
      </c>
      <c r="R14" s="234">
        <v>21199000</v>
      </c>
      <c r="S14" s="234">
        <v>13264000</v>
      </c>
      <c r="T14" s="234">
        <v>0</v>
      </c>
      <c r="U14" s="234">
        <v>0</v>
      </c>
      <c r="V14" s="234">
        <v>218819000</v>
      </c>
      <c r="W14" s="234">
        <v>101851000</v>
      </c>
      <c r="X14" s="242">
        <v>116968000</v>
      </c>
      <c r="Y14" s="234">
        <v>5273000</v>
      </c>
      <c r="Z14" s="242">
        <v>156704000</v>
      </c>
      <c r="AA14" s="242">
        <v>230208000</v>
      </c>
      <c r="AB14" s="234">
        <v>1640000</v>
      </c>
      <c r="AC14" s="234">
        <v>2828000</v>
      </c>
      <c r="AD14" s="234">
        <v>0</v>
      </c>
      <c r="AE14" s="234">
        <v>15545000</v>
      </c>
      <c r="AF14" s="242">
        <v>20013000</v>
      </c>
      <c r="AG14" s="234">
        <v>62201000</v>
      </c>
      <c r="AH14" s="234">
        <v>0</v>
      </c>
      <c r="AI14" s="234">
        <v>20237000</v>
      </c>
      <c r="AJ14" s="242">
        <v>82438000</v>
      </c>
      <c r="AK14" s="242">
        <v>102451000</v>
      </c>
      <c r="AL14" s="234">
        <v>95362000</v>
      </c>
      <c r="AM14" s="234">
        <v>24373000</v>
      </c>
      <c r="AN14" s="234">
        <v>8022000</v>
      </c>
      <c r="AO14" s="242">
        <v>127757000</v>
      </c>
      <c r="AP14" s="242">
        <v>230208000</v>
      </c>
      <c r="AQ14" s="234">
        <v>93481000</v>
      </c>
      <c r="AR14" s="234">
        <v>0</v>
      </c>
      <c r="AS14" s="234">
        <v>3144000</v>
      </c>
      <c r="AT14" s="234">
        <v>0</v>
      </c>
      <c r="AU14" s="234">
        <v>0</v>
      </c>
      <c r="AV14" s="234">
        <v>0</v>
      </c>
      <c r="AW14" s="242">
        <v>96625000</v>
      </c>
      <c r="AX14" s="234">
        <v>273000</v>
      </c>
      <c r="AY14" s="234">
        <v>0</v>
      </c>
      <c r="AZ14" s="234">
        <v>358000</v>
      </c>
      <c r="BA14" s="234">
        <v>0</v>
      </c>
      <c r="BB14" s="234">
        <v>0</v>
      </c>
      <c r="BC14" s="242">
        <v>631000</v>
      </c>
      <c r="BD14" s="242">
        <v>97256000</v>
      </c>
      <c r="BE14" s="234">
        <v>41580000</v>
      </c>
      <c r="BF14" s="234">
        <v>0</v>
      </c>
      <c r="BG14" s="234">
        <v>4127000</v>
      </c>
      <c r="BH14" s="234">
        <v>1160000</v>
      </c>
      <c r="BI14" s="234">
        <v>953000</v>
      </c>
      <c r="BJ14" s="234">
        <v>41219000</v>
      </c>
      <c r="BK14" s="234">
        <v>0</v>
      </c>
      <c r="BL14" s="242">
        <v>89039000</v>
      </c>
      <c r="BM14" s="242">
        <v>8217000</v>
      </c>
      <c r="BN14" s="234">
        <v>0</v>
      </c>
      <c r="BO14" s="234">
        <v>4472000</v>
      </c>
      <c r="BP14" s="234">
        <v>12689000</v>
      </c>
      <c r="BQ14" s="234">
        <v>0</v>
      </c>
      <c r="BR14" s="234">
        <v>0</v>
      </c>
      <c r="BS14" s="242">
        <v>12689000</v>
      </c>
    </row>
    <row r="15" spans="1:71" s="202" customFormat="1" ht="30" customHeight="1" x14ac:dyDescent="0.3">
      <c r="A15" s="233">
        <v>57</v>
      </c>
      <c r="B15" s="233" t="s">
        <v>132</v>
      </c>
      <c r="C15" s="233" t="s">
        <v>77</v>
      </c>
      <c r="D15" s="233">
        <v>12776</v>
      </c>
      <c r="E15" s="233">
        <v>2026</v>
      </c>
      <c r="F15" s="233" t="s">
        <v>275</v>
      </c>
      <c r="G15" s="233">
        <v>2</v>
      </c>
      <c r="H15" s="233">
        <v>6</v>
      </c>
      <c r="I15" s="233" t="s">
        <v>703</v>
      </c>
      <c r="J15" s="234">
        <v>13330183</v>
      </c>
      <c r="K15" s="234">
        <v>0</v>
      </c>
      <c r="L15" s="234">
        <v>0</v>
      </c>
      <c r="M15" s="234">
        <v>40939059</v>
      </c>
      <c r="N15" s="234">
        <v>1005340</v>
      </c>
      <c r="O15" s="234">
        <v>2345663</v>
      </c>
      <c r="P15" s="234">
        <v>14877737</v>
      </c>
      <c r="Q15" s="242">
        <v>72497982</v>
      </c>
      <c r="R15" s="234">
        <v>32018084</v>
      </c>
      <c r="S15" s="234">
        <v>0</v>
      </c>
      <c r="T15" s="234">
        <v>37425854</v>
      </c>
      <c r="U15" s="234">
        <v>0</v>
      </c>
      <c r="V15" s="234">
        <v>353217957</v>
      </c>
      <c r="W15" s="234">
        <v>245414716</v>
      </c>
      <c r="X15" s="242">
        <v>107803241</v>
      </c>
      <c r="Y15" s="234">
        <v>63068726</v>
      </c>
      <c r="Z15" s="242">
        <v>240315905</v>
      </c>
      <c r="AA15" s="242">
        <v>312813887</v>
      </c>
      <c r="AB15" s="234">
        <v>10276374</v>
      </c>
      <c r="AC15" s="234">
        <v>0</v>
      </c>
      <c r="AD15" s="234">
        <v>0</v>
      </c>
      <c r="AE15" s="234">
        <v>64021827</v>
      </c>
      <c r="AF15" s="242">
        <v>74298201</v>
      </c>
      <c r="AG15" s="234">
        <v>85119113</v>
      </c>
      <c r="AH15" s="234">
        <v>0</v>
      </c>
      <c r="AI15" s="234">
        <v>13541690</v>
      </c>
      <c r="AJ15" s="242">
        <v>98660803</v>
      </c>
      <c r="AK15" s="242">
        <v>172959004</v>
      </c>
      <c r="AL15" s="234">
        <v>107617613</v>
      </c>
      <c r="AM15" s="234">
        <v>28855886</v>
      </c>
      <c r="AN15" s="234">
        <v>3381384</v>
      </c>
      <c r="AO15" s="242">
        <v>139854883</v>
      </c>
      <c r="AP15" s="242">
        <v>312813887</v>
      </c>
      <c r="AQ15" s="234">
        <v>194453176</v>
      </c>
      <c r="AR15" s="234">
        <v>0</v>
      </c>
      <c r="AS15" s="234">
        <v>11996045</v>
      </c>
      <c r="AT15" s="234">
        <v>0</v>
      </c>
      <c r="AU15" s="234">
        <v>0</v>
      </c>
      <c r="AV15" s="234">
        <v>1135868</v>
      </c>
      <c r="AW15" s="242">
        <v>207585089</v>
      </c>
      <c r="AX15" s="234">
        <v>500651</v>
      </c>
      <c r="AY15" s="234">
        <v>0</v>
      </c>
      <c r="AZ15" s="234">
        <v>0</v>
      </c>
      <c r="BA15" s="234">
        <v>2046963</v>
      </c>
      <c r="BB15" s="234">
        <v>0</v>
      </c>
      <c r="BC15" s="242">
        <v>2547614</v>
      </c>
      <c r="BD15" s="242">
        <v>210132703</v>
      </c>
      <c r="BE15" s="234">
        <v>115382394</v>
      </c>
      <c r="BF15" s="234">
        <v>0</v>
      </c>
      <c r="BG15" s="234">
        <v>5670839</v>
      </c>
      <c r="BH15" s="234">
        <v>1697524</v>
      </c>
      <c r="BI15" s="234">
        <v>1096956</v>
      </c>
      <c r="BJ15" s="234">
        <v>84432145</v>
      </c>
      <c r="BK15" s="234">
        <v>0</v>
      </c>
      <c r="BL15" s="242">
        <v>208279858</v>
      </c>
      <c r="BM15" s="242">
        <v>1852845</v>
      </c>
      <c r="BN15" s="234">
        <v>-730836</v>
      </c>
      <c r="BO15" s="234">
        <v>755702</v>
      </c>
      <c r="BP15" s="234">
        <v>1877711</v>
      </c>
      <c r="BQ15" s="234">
        <v>0</v>
      </c>
      <c r="BR15" s="234">
        <v>0</v>
      </c>
      <c r="BS15" s="242">
        <v>1877711</v>
      </c>
    </row>
    <row r="16" spans="1:71" s="164" customFormat="1" ht="30" customHeight="1" x14ac:dyDescent="0.3">
      <c r="A16" s="233">
        <v>59</v>
      </c>
      <c r="B16" s="233" t="s">
        <v>142</v>
      </c>
      <c r="C16" s="233" t="s">
        <v>77</v>
      </c>
      <c r="D16" s="233">
        <v>3791</v>
      </c>
      <c r="E16" s="233">
        <v>2026</v>
      </c>
      <c r="F16" s="233" t="s">
        <v>275</v>
      </c>
      <c r="G16" s="233">
        <v>2</v>
      </c>
      <c r="H16" s="233">
        <v>6</v>
      </c>
      <c r="I16" s="233" t="s">
        <v>703</v>
      </c>
      <c r="J16" s="234">
        <v>2314000</v>
      </c>
      <c r="K16" s="234">
        <v>-5255000</v>
      </c>
      <c r="L16" s="234">
        <v>0</v>
      </c>
      <c r="M16" s="234">
        <v>50428000</v>
      </c>
      <c r="N16" s="234">
        <v>306000</v>
      </c>
      <c r="O16" s="234">
        <v>3033000</v>
      </c>
      <c r="P16" s="234">
        <v>7016000</v>
      </c>
      <c r="Q16" s="242">
        <v>57842000</v>
      </c>
      <c r="R16" s="234">
        <v>14393000</v>
      </c>
      <c r="S16" s="234">
        <v>843000</v>
      </c>
      <c r="T16" s="234">
        <v>0</v>
      </c>
      <c r="U16" s="234">
        <v>0</v>
      </c>
      <c r="V16" s="234">
        <v>567322000</v>
      </c>
      <c r="W16" s="234">
        <v>204086000</v>
      </c>
      <c r="X16" s="242">
        <v>363236000</v>
      </c>
      <c r="Y16" s="234">
        <v>10129000</v>
      </c>
      <c r="Z16" s="242">
        <v>388601000</v>
      </c>
      <c r="AA16" s="242">
        <v>446443000</v>
      </c>
      <c r="AB16" s="234">
        <v>11850000</v>
      </c>
      <c r="AC16" s="234">
        <v>1195000</v>
      </c>
      <c r="AD16" s="234">
        <v>15018000</v>
      </c>
      <c r="AE16" s="234">
        <v>18740000</v>
      </c>
      <c r="AF16" s="242">
        <v>46803000</v>
      </c>
      <c r="AG16" s="234">
        <v>247581000</v>
      </c>
      <c r="AH16" s="234">
        <v>0</v>
      </c>
      <c r="AI16" s="234">
        <v>3970000</v>
      </c>
      <c r="AJ16" s="242">
        <v>251551000</v>
      </c>
      <c r="AK16" s="242">
        <v>298354000</v>
      </c>
      <c r="AL16" s="234">
        <v>138757000</v>
      </c>
      <c r="AM16" s="234">
        <v>9332000</v>
      </c>
      <c r="AN16" s="234">
        <v>0</v>
      </c>
      <c r="AO16" s="242">
        <v>148089000</v>
      </c>
      <c r="AP16" s="242">
        <v>446443000</v>
      </c>
      <c r="AQ16" s="234">
        <v>215292000</v>
      </c>
      <c r="AR16" s="234">
        <v>0</v>
      </c>
      <c r="AS16" s="234">
        <v>4395000</v>
      </c>
      <c r="AT16" s="234">
        <v>0</v>
      </c>
      <c r="AU16" s="234">
        <v>0</v>
      </c>
      <c r="AV16" s="234">
        <v>0</v>
      </c>
      <c r="AW16" s="242">
        <v>219687000</v>
      </c>
      <c r="AX16" s="234">
        <v>-10000</v>
      </c>
      <c r="AY16" s="234">
        <v>0</v>
      </c>
      <c r="AZ16" s="234">
        <v>-3000</v>
      </c>
      <c r="BA16" s="234">
        <v>0</v>
      </c>
      <c r="BB16" s="234">
        <v>311000</v>
      </c>
      <c r="BC16" s="242">
        <v>298000</v>
      </c>
      <c r="BD16" s="242">
        <v>219985000</v>
      </c>
      <c r="BE16" s="234">
        <v>111948000</v>
      </c>
      <c r="BF16" s="234">
        <v>0</v>
      </c>
      <c r="BG16" s="234">
        <v>12232000</v>
      </c>
      <c r="BH16" s="234">
        <v>5293000</v>
      </c>
      <c r="BI16" s="234">
        <v>629000</v>
      </c>
      <c r="BJ16" s="234">
        <v>103216000</v>
      </c>
      <c r="BK16" s="234">
        <v>0</v>
      </c>
      <c r="BL16" s="242">
        <v>233318000</v>
      </c>
      <c r="BM16" s="242">
        <v>-13333000</v>
      </c>
      <c r="BN16" s="234">
        <v>25201000</v>
      </c>
      <c r="BO16" s="234">
        <v>-4000</v>
      </c>
      <c r="BP16" s="234">
        <v>11864000</v>
      </c>
      <c r="BQ16" s="234">
        <v>0</v>
      </c>
      <c r="BR16" s="234">
        <v>0</v>
      </c>
      <c r="BS16" s="242">
        <v>11864000</v>
      </c>
    </row>
    <row r="17" spans="1:71" s="202" customFormat="1" ht="30" customHeight="1" x14ac:dyDescent="0.3">
      <c r="A17" s="238">
        <v>68</v>
      </c>
      <c r="B17" s="238" t="s">
        <v>198</v>
      </c>
      <c r="C17" s="238" t="s">
        <v>77</v>
      </c>
      <c r="D17" s="238">
        <v>6755</v>
      </c>
      <c r="E17" s="238">
        <v>2026</v>
      </c>
      <c r="F17" s="238" t="s">
        <v>275</v>
      </c>
      <c r="G17" s="238">
        <v>2</v>
      </c>
      <c r="H17" s="238">
        <v>6</v>
      </c>
      <c r="I17" s="238" t="s">
        <v>703</v>
      </c>
      <c r="J17" s="239">
        <v>580000</v>
      </c>
      <c r="K17" s="239">
        <v>0</v>
      </c>
      <c r="L17" s="239">
        <v>0</v>
      </c>
      <c r="M17" s="239">
        <v>25861000</v>
      </c>
      <c r="N17" s="239">
        <v>26009000</v>
      </c>
      <c r="O17" s="239">
        <v>726000</v>
      </c>
      <c r="P17" s="239">
        <v>5552000</v>
      </c>
      <c r="Q17" s="242">
        <v>58728000</v>
      </c>
      <c r="R17" s="239">
        <v>204000</v>
      </c>
      <c r="S17" s="239">
        <v>0</v>
      </c>
      <c r="T17" s="239">
        <v>0</v>
      </c>
      <c r="U17" s="239">
        <v>0</v>
      </c>
      <c r="V17" s="239">
        <v>128900000</v>
      </c>
      <c r="W17" s="239">
        <v>68238000</v>
      </c>
      <c r="X17" s="242">
        <v>60662000</v>
      </c>
      <c r="Y17" s="239">
        <v>68332000</v>
      </c>
      <c r="Z17" s="242">
        <v>129198000</v>
      </c>
      <c r="AA17" s="242">
        <v>187926000</v>
      </c>
      <c r="AB17" s="239">
        <v>0</v>
      </c>
      <c r="AC17" s="239">
        <v>3728000</v>
      </c>
      <c r="AD17" s="239">
        <v>50867000</v>
      </c>
      <c r="AE17" s="239">
        <v>17535000</v>
      </c>
      <c r="AF17" s="242">
        <v>72130000</v>
      </c>
      <c r="AG17" s="239">
        <v>0</v>
      </c>
      <c r="AH17" s="239">
        <v>21915000</v>
      </c>
      <c r="AI17" s="239">
        <v>11302000</v>
      </c>
      <c r="AJ17" s="242">
        <v>33217000</v>
      </c>
      <c r="AK17" s="242">
        <v>105347000</v>
      </c>
      <c r="AL17" s="239">
        <v>73440000</v>
      </c>
      <c r="AM17" s="239">
        <v>1152000</v>
      </c>
      <c r="AN17" s="239">
        <v>7987000</v>
      </c>
      <c r="AO17" s="242">
        <v>82579000</v>
      </c>
      <c r="AP17" s="242">
        <v>187926000</v>
      </c>
      <c r="AQ17" s="239">
        <v>99176000</v>
      </c>
      <c r="AR17" s="239">
        <v>0</v>
      </c>
      <c r="AS17" s="239">
        <v>7880000</v>
      </c>
      <c r="AT17" s="239">
        <v>0</v>
      </c>
      <c r="AU17" s="239">
        <v>0</v>
      </c>
      <c r="AV17" s="239">
        <v>0</v>
      </c>
      <c r="AW17" s="242">
        <v>107056000</v>
      </c>
      <c r="AX17" s="239">
        <v>726000</v>
      </c>
      <c r="AY17" s="239">
        <v>2114000</v>
      </c>
      <c r="AZ17" s="239"/>
      <c r="BA17" s="239">
        <v>816000</v>
      </c>
      <c r="BB17" s="239">
        <v>0</v>
      </c>
      <c r="BC17" s="242">
        <v>3656000</v>
      </c>
      <c r="BD17" s="242">
        <v>110712000</v>
      </c>
      <c r="BE17" s="239">
        <v>53565000</v>
      </c>
      <c r="BF17" s="239">
        <v>0</v>
      </c>
      <c r="BG17" s="239">
        <v>3724000</v>
      </c>
      <c r="BH17" s="239">
        <v>1703000</v>
      </c>
      <c r="BI17" s="239">
        <v>1125000</v>
      </c>
      <c r="BJ17" s="239">
        <v>50706000</v>
      </c>
      <c r="BK17" s="239">
        <v>0</v>
      </c>
      <c r="BL17" s="242">
        <v>110823000</v>
      </c>
      <c r="BM17" s="242">
        <v>-111000</v>
      </c>
      <c r="BN17" s="239">
        <v>9000</v>
      </c>
      <c r="BO17" s="239">
        <v>200000</v>
      </c>
      <c r="BP17" s="239">
        <v>98000</v>
      </c>
      <c r="BQ17" s="239">
        <v>0</v>
      </c>
      <c r="BR17" s="239">
        <v>0</v>
      </c>
      <c r="BS17" s="242">
        <v>98000</v>
      </c>
    </row>
    <row r="18" spans="1:71" s="164" customFormat="1" ht="30" customHeight="1" x14ac:dyDescent="0.3">
      <c r="A18" s="233">
        <v>73</v>
      </c>
      <c r="B18" s="233" t="s">
        <v>136</v>
      </c>
      <c r="C18" s="233" t="s">
        <v>77</v>
      </c>
      <c r="D18" s="233">
        <v>12807</v>
      </c>
      <c r="E18" s="233">
        <v>2026</v>
      </c>
      <c r="F18" s="233" t="s">
        <v>275</v>
      </c>
      <c r="G18" s="233">
        <v>2</v>
      </c>
      <c r="H18" s="233">
        <v>6</v>
      </c>
      <c r="I18" s="233" t="s">
        <v>703</v>
      </c>
      <c r="J18" s="234">
        <v>11525217</v>
      </c>
      <c r="K18" s="234">
        <v>0</v>
      </c>
      <c r="L18" s="234">
        <v>0</v>
      </c>
      <c r="M18" s="234">
        <v>19334262</v>
      </c>
      <c r="N18" s="234">
        <v>11015683</v>
      </c>
      <c r="O18" s="234">
        <v>0</v>
      </c>
      <c r="P18" s="234">
        <v>7678654</v>
      </c>
      <c r="Q18" s="242">
        <v>49553816</v>
      </c>
      <c r="R18" s="234">
        <v>4065310</v>
      </c>
      <c r="S18" s="234">
        <v>0</v>
      </c>
      <c r="T18" s="234">
        <v>0</v>
      </c>
      <c r="U18" s="234">
        <v>0</v>
      </c>
      <c r="V18" s="234">
        <v>145984688</v>
      </c>
      <c r="W18" s="234">
        <v>93056004</v>
      </c>
      <c r="X18" s="242">
        <v>52928684</v>
      </c>
      <c r="Y18" s="234">
        <v>1301984</v>
      </c>
      <c r="Z18" s="242">
        <v>58295978</v>
      </c>
      <c r="AA18" s="242">
        <v>107849794</v>
      </c>
      <c r="AB18" s="234">
        <v>1239820</v>
      </c>
      <c r="AC18" s="234">
        <v>1459455</v>
      </c>
      <c r="AD18" s="234">
        <v>8478950</v>
      </c>
      <c r="AE18" s="234">
        <v>37947497</v>
      </c>
      <c r="AF18" s="242">
        <v>49125722</v>
      </c>
      <c r="AG18" s="234">
        <v>45250000</v>
      </c>
      <c r="AH18" s="234">
        <v>0</v>
      </c>
      <c r="AI18" s="234">
        <v>2345285</v>
      </c>
      <c r="AJ18" s="242">
        <v>47595285</v>
      </c>
      <c r="AK18" s="242">
        <v>96721007</v>
      </c>
      <c r="AL18" s="234">
        <v>7103928</v>
      </c>
      <c r="AM18" s="234">
        <v>3331512</v>
      </c>
      <c r="AN18" s="234">
        <v>693347</v>
      </c>
      <c r="AO18" s="242">
        <v>11128787</v>
      </c>
      <c r="AP18" s="242">
        <v>107849794</v>
      </c>
      <c r="AQ18" s="234">
        <v>82070400</v>
      </c>
      <c r="AR18" s="234">
        <v>0</v>
      </c>
      <c r="AS18" s="234">
        <v>19692092</v>
      </c>
      <c r="AT18" s="234">
        <v>0</v>
      </c>
      <c r="AU18" s="234">
        <v>0</v>
      </c>
      <c r="AV18" s="234">
        <v>0</v>
      </c>
      <c r="AW18" s="242">
        <v>101762492</v>
      </c>
      <c r="AX18" s="234">
        <v>24786</v>
      </c>
      <c r="AY18" s="234">
        <v>645132</v>
      </c>
      <c r="AZ18" s="234">
        <v>0</v>
      </c>
      <c r="BA18" s="234">
        <v>0</v>
      </c>
      <c r="BB18" s="234">
        <v>0</v>
      </c>
      <c r="BC18" s="242">
        <v>669918</v>
      </c>
      <c r="BD18" s="242">
        <v>102432410</v>
      </c>
      <c r="BE18" s="234">
        <v>45956123</v>
      </c>
      <c r="BF18" s="234">
        <v>0</v>
      </c>
      <c r="BG18" s="234">
        <v>2497039</v>
      </c>
      <c r="BH18" s="234">
        <v>450149</v>
      </c>
      <c r="BI18" s="234">
        <v>6122652</v>
      </c>
      <c r="BJ18" s="234">
        <v>48649619</v>
      </c>
      <c r="BK18" s="234">
        <v>0</v>
      </c>
      <c r="BL18" s="242">
        <v>103675582</v>
      </c>
      <c r="BM18" s="242">
        <v>-1243172</v>
      </c>
      <c r="BN18" s="234">
        <v>2907241</v>
      </c>
      <c r="BO18" s="234">
        <v>0</v>
      </c>
      <c r="BP18" s="234">
        <v>1664069</v>
      </c>
      <c r="BQ18" s="234">
        <v>0</v>
      </c>
      <c r="BR18" s="234">
        <v>0</v>
      </c>
      <c r="BS18" s="242">
        <v>1664069</v>
      </c>
    </row>
    <row r="19" spans="1:71" s="202" customFormat="1" ht="30" customHeight="1" x14ac:dyDescent="0.3">
      <c r="A19" s="238">
        <v>75</v>
      </c>
      <c r="B19" s="238" t="s">
        <v>176</v>
      </c>
      <c r="C19" s="238" t="s">
        <v>77</v>
      </c>
      <c r="D19" s="238">
        <v>13156</v>
      </c>
      <c r="E19" s="238">
        <v>2026</v>
      </c>
      <c r="F19" s="238" t="s">
        <v>275</v>
      </c>
      <c r="G19" s="238">
        <v>2</v>
      </c>
      <c r="H19" s="238">
        <v>6</v>
      </c>
      <c r="I19" s="238" t="s">
        <v>703</v>
      </c>
      <c r="J19" s="239">
        <v>1415000</v>
      </c>
      <c r="K19" s="239">
        <v>0</v>
      </c>
      <c r="L19" s="239">
        <v>0</v>
      </c>
      <c r="M19" s="239">
        <v>16004000</v>
      </c>
      <c r="N19" s="239">
        <v>50741000</v>
      </c>
      <c r="O19" s="239">
        <v>22702000</v>
      </c>
      <c r="P19" s="239">
        <v>4222000</v>
      </c>
      <c r="Q19" s="242">
        <v>95084000</v>
      </c>
      <c r="R19" s="239">
        <v>0</v>
      </c>
      <c r="S19" s="239">
        <v>0</v>
      </c>
      <c r="T19" s="239">
        <v>0</v>
      </c>
      <c r="U19" s="239">
        <v>0</v>
      </c>
      <c r="V19" s="239">
        <v>88936000</v>
      </c>
      <c r="W19" s="239">
        <v>7889000</v>
      </c>
      <c r="X19" s="242">
        <v>81047000</v>
      </c>
      <c r="Y19" s="239">
        <v>0</v>
      </c>
      <c r="Z19" s="242">
        <v>81047000</v>
      </c>
      <c r="AA19" s="242">
        <v>176131000</v>
      </c>
      <c r="AB19" s="239">
        <v>0</v>
      </c>
      <c r="AC19" s="239">
        <v>15096000</v>
      </c>
      <c r="AD19" s="239">
        <v>5116000</v>
      </c>
      <c r="AE19" s="239">
        <v>88687000</v>
      </c>
      <c r="AF19" s="242">
        <v>108899000</v>
      </c>
      <c r="AG19" s="239">
        <v>0</v>
      </c>
      <c r="AH19" s="239">
        <v>0</v>
      </c>
      <c r="AI19" s="239">
        <v>0</v>
      </c>
      <c r="AJ19" s="242">
        <v>0</v>
      </c>
      <c r="AK19" s="242">
        <v>108899000</v>
      </c>
      <c r="AL19" s="239">
        <v>67232000</v>
      </c>
      <c r="AM19" s="239">
        <v>0</v>
      </c>
      <c r="AN19" s="239">
        <v>0</v>
      </c>
      <c r="AO19" s="242">
        <v>67232000</v>
      </c>
      <c r="AP19" s="242">
        <v>176131000</v>
      </c>
      <c r="AQ19" s="239">
        <v>89592000</v>
      </c>
      <c r="AR19" s="239">
        <v>0</v>
      </c>
      <c r="AS19" s="239">
        <v>3894000</v>
      </c>
      <c r="AT19" s="239">
        <v>0</v>
      </c>
      <c r="AU19" s="239">
        <v>0</v>
      </c>
      <c r="AV19" s="239">
        <v>0</v>
      </c>
      <c r="AW19" s="242">
        <v>93486000</v>
      </c>
      <c r="AX19" s="239">
        <v>15000</v>
      </c>
      <c r="AY19" s="239">
        <v>0</v>
      </c>
      <c r="AZ19" s="239">
        <v>0</v>
      </c>
      <c r="BA19" s="239">
        <v>0</v>
      </c>
      <c r="BB19" s="239">
        <v>0</v>
      </c>
      <c r="BC19" s="242">
        <v>15000</v>
      </c>
      <c r="BD19" s="242">
        <v>93501000</v>
      </c>
      <c r="BE19" s="239">
        <v>47650000</v>
      </c>
      <c r="BF19" s="239">
        <v>0</v>
      </c>
      <c r="BG19" s="239">
        <v>1726000</v>
      </c>
      <c r="BH19" s="239">
        <v>1000</v>
      </c>
      <c r="BI19" s="239">
        <v>11040000</v>
      </c>
      <c r="BJ19" s="239">
        <v>63308000</v>
      </c>
      <c r="BK19" s="239">
        <v>0</v>
      </c>
      <c r="BL19" s="242">
        <v>123725000</v>
      </c>
      <c r="BM19" s="242">
        <v>-30224000</v>
      </c>
      <c r="BN19" s="239">
        <v>0</v>
      </c>
      <c r="BO19" s="239">
        <v>0</v>
      </c>
      <c r="BP19" s="239">
        <v>-30224000</v>
      </c>
      <c r="BQ19" s="239">
        <v>0</v>
      </c>
      <c r="BR19" s="239">
        <v>0</v>
      </c>
      <c r="BS19" s="242">
        <v>-30224000</v>
      </c>
    </row>
    <row r="20" spans="1:71" s="164" customFormat="1" ht="30" customHeight="1" x14ac:dyDescent="0.3">
      <c r="A20" s="233">
        <v>77</v>
      </c>
      <c r="B20" s="233" t="s">
        <v>205</v>
      </c>
      <c r="C20" s="233" t="s">
        <v>77</v>
      </c>
      <c r="D20" s="233">
        <v>12767</v>
      </c>
      <c r="E20" s="233">
        <v>2026</v>
      </c>
      <c r="F20" s="233" t="s">
        <v>275</v>
      </c>
      <c r="G20" s="233">
        <v>2</v>
      </c>
      <c r="H20" s="233">
        <v>6</v>
      </c>
      <c r="I20" s="233" t="s">
        <v>703</v>
      </c>
      <c r="J20" s="234">
        <v>18518406</v>
      </c>
      <c r="K20" s="234">
        <v>2433994</v>
      </c>
      <c r="L20" s="234">
        <v>0</v>
      </c>
      <c r="M20" s="234">
        <v>37621762</v>
      </c>
      <c r="N20" s="234">
        <v>186872</v>
      </c>
      <c r="O20" s="234">
        <v>0</v>
      </c>
      <c r="P20" s="234">
        <v>11733746</v>
      </c>
      <c r="Q20" s="242">
        <v>70494780</v>
      </c>
      <c r="R20" s="234">
        <v>5857359</v>
      </c>
      <c r="S20" s="234">
        <v>0</v>
      </c>
      <c r="T20" s="234">
        <v>4639669</v>
      </c>
      <c r="U20" s="234">
        <v>0</v>
      </c>
      <c r="V20" s="234">
        <v>159573575</v>
      </c>
      <c r="W20" s="234">
        <v>100667532</v>
      </c>
      <c r="X20" s="242">
        <v>58906043</v>
      </c>
      <c r="Y20" s="234">
        <v>8016532</v>
      </c>
      <c r="Z20" s="242">
        <v>77419603</v>
      </c>
      <c r="AA20" s="242">
        <v>147914383</v>
      </c>
      <c r="AB20" s="234">
        <v>2381886</v>
      </c>
      <c r="AC20" s="234">
        <v>2630485</v>
      </c>
      <c r="AD20" s="234">
        <v>0</v>
      </c>
      <c r="AE20" s="234">
        <v>51189115</v>
      </c>
      <c r="AF20" s="242">
        <v>56201486</v>
      </c>
      <c r="AG20" s="234">
        <v>18626263</v>
      </c>
      <c r="AH20" s="234">
        <v>0</v>
      </c>
      <c r="AI20" s="234">
        <v>8606251</v>
      </c>
      <c r="AJ20" s="242">
        <v>27232514</v>
      </c>
      <c r="AK20" s="242">
        <v>83434000</v>
      </c>
      <c r="AL20" s="234">
        <v>58524605</v>
      </c>
      <c r="AM20" s="234">
        <v>2984695</v>
      </c>
      <c r="AN20" s="234">
        <v>2971083</v>
      </c>
      <c r="AO20" s="242">
        <v>64480383</v>
      </c>
      <c r="AP20" s="242">
        <v>147914383</v>
      </c>
      <c r="AQ20" s="234">
        <v>129746184</v>
      </c>
      <c r="AR20" s="234">
        <v>468478</v>
      </c>
      <c r="AS20" s="234">
        <v>28960675</v>
      </c>
      <c r="AT20" s="234">
        <v>0</v>
      </c>
      <c r="AU20" s="234">
        <v>0</v>
      </c>
      <c r="AV20" s="234">
        <v>12712</v>
      </c>
      <c r="AW20" s="242">
        <v>159188049</v>
      </c>
      <c r="AX20" s="234">
        <v>221924</v>
      </c>
      <c r="AY20" s="234">
        <v>39378</v>
      </c>
      <c r="AZ20" s="234"/>
      <c r="BA20" s="234">
        <v>21923</v>
      </c>
      <c r="BB20" s="234">
        <v>0</v>
      </c>
      <c r="BC20" s="242">
        <v>215203</v>
      </c>
      <c r="BD20" s="242">
        <v>159403252</v>
      </c>
      <c r="BE20" s="234">
        <v>95281357</v>
      </c>
      <c r="BF20" s="234">
        <v>0</v>
      </c>
      <c r="BG20" s="234">
        <v>3580004</v>
      </c>
      <c r="BH20" s="234">
        <v>446282</v>
      </c>
      <c r="BI20" s="234">
        <v>3131452</v>
      </c>
      <c r="BJ20" s="234">
        <v>52797798</v>
      </c>
      <c r="BK20" s="234">
        <v>0</v>
      </c>
      <c r="BL20" s="242">
        <v>155236893</v>
      </c>
      <c r="BM20" s="242">
        <v>4166359</v>
      </c>
      <c r="BN20" s="234">
        <v>-1265000</v>
      </c>
      <c r="BO20" s="234">
        <v>0</v>
      </c>
      <c r="BP20" s="234">
        <v>2901359</v>
      </c>
      <c r="BQ20" s="234">
        <v>0</v>
      </c>
      <c r="BR20" s="234">
        <v>0</v>
      </c>
      <c r="BS20" s="242">
        <v>2901359</v>
      </c>
    </row>
    <row r="21" spans="1:71" s="202" customFormat="1" ht="30" customHeight="1" x14ac:dyDescent="0.3">
      <c r="A21" s="238">
        <v>79</v>
      </c>
      <c r="B21" s="238" t="s">
        <v>94</v>
      </c>
      <c r="C21" s="238" t="s">
        <v>77</v>
      </c>
      <c r="D21" s="238">
        <v>16665</v>
      </c>
      <c r="E21" s="238">
        <v>2026</v>
      </c>
      <c r="F21" s="238" t="s">
        <v>275</v>
      </c>
      <c r="G21" s="238">
        <v>2</v>
      </c>
      <c r="H21" s="238">
        <v>6</v>
      </c>
      <c r="I21" s="238" t="s">
        <v>703</v>
      </c>
      <c r="J21" s="239">
        <v>197000</v>
      </c>
      <c r="K21" s="239">
        <v>26554000</v>
      </c>
      <c r="L21" s="239">
        <v>0</v>
      </c>
      <c r="M21" s="239">
        <v>38407000</v>
      </c>
      <c r="N21" s="239">
        <v>0</v>
      </c>
      <c r="O21" s="239">
        <v>0</v>
      </c>
      <c r="P21" s="239">
        <v>12427000</v>
      </c>
      <c r="Q21" s="242">
        <v>77585000</v>
      </c>
      <c r="R21" s="239">
        <v>21732000</v>
      </c>
      <c r="S21" s="239">
        <v>3269000</v>
      </c>
      <c r="T21" s="239">
        <v>0</v>
      </c>
      <c r="U21" s="239">
        <v>0</v>
      </c>
      <c r="V21" s="239">
        <v>269556000</v>
      </c>
      <c r="W21" s="239">
        <v>107508000</v>
      </c>
      <c r="X21" s="242">
        <v>162048000</v>
      </c>
      <c r="Y21" s="239">
        <v>22689000</v>
      </c>
      <c r="Z21" s="242">
        <v>209738000</v>
      </c>
      <c r="AA21" s="242">
        <v>287323000</v>
      </c>
      <c r="AB21" s="239">
        <v>4289000</v>
      </c>
      <c r="AC21" s="239">
        <v>7022000</v>
      </c>
      <c r="AD21" s="239">
        <v>14929000</v>
      </c>
      <c r="AE21" s="239">
        <v>41190000</v>
      </c>
      <c r="AF21" s="242">
        <v>67430000</v>
      </c>
      <c r="AG21" s="239">
        <v>101718000</v>
      </c>
      <c r="AH21" s="239">
        <v>0</v>
      </c>
      <c r="AI21" s="239">
        <v>21812000</v>
      </c>
      <c r="AJ21" s="242">
        <v>123530000</v>
      </c>
      <c r="AK21" s="242">
        <v>190960000</v>
      </c>
      <c r="AL21" s="239">
        <v>72718000</v>
      </c>
      <c r="AM21" s="239">
        <v>11982000</v>
      </c>
      <c r="AN21" s="239">
        <v>11663000</v>
      </c>
      <c r="AO21" s="242">
        <v>96363000</v>
      </c>
      <c r="AP21" s="242">
        <v>287323000</v>
      </c>
      <c r="AQ21" s="239">
        <v>193913000</v>
      </c>
      <c r="AR21" s="239">
        <v>0</v>
      </c>
      <c r="AS21" s="239">
        <v>10752000</v>
      </c>
      <c r="AT21" s="239">
        <v>0</v>
      </c>
      <c r="AU21" s="239">
        <v>0</v>
      </c>
      <c r="AV21" s="239">
        <v>0</v>
      </c>
      <c r="AW21" s="242">
        <v>204665000</v>
      </c>
      <c r="AX21" s="239">
        <v>855000</v>
      </c>
      <c r="AY21" s="239">
        <v>0</v>
      </c>
      <c r="AZ21" s="239">
        <v>1101000</v>
      </c>
      <c r="BA21" s="239">
        <v>8000</v>
      </c>
      <c r="BB21" s="239">
        <v>0</v>
      </c>
      <c r="BC21" s="242">
        <v>1964000</v>
      </c>
      <c r="BD21" s="242">
        <v>206629000</v>
      </c>
      <c r="BE21" s="239">
        <v>87649000</v>
      </c>
      <c r="BF21" s="239">
        <v>0</v>
      </c>
      <c r="BG21" s="239">
        <v>5796000</v>
      </c>
      <c r="BH21" s="239">
        <v>1376000</v>
      </c>
      <c r="BI21" s="239">
        <v>3413000</v>
      </c>
      <c r="BJ21" s="239">
        <v>96672000</v>
      </c>
      <c r="BK21" s="239">
        <v>0</v>
      </c>
      <c r="BL21" s="242">
        <v>194906000</v>
      </c>
      <c r="BM21" s="242">
        <v>11723000</v>
      </c>
      <c r="BN21" s="239">
        <v>0</v>
      </c>
      <c r="BO21" s="239">
        <v>12000</v>
      </c>
      <c r="BP21" s="239">
        <v>11735000</v>
      </c>
      <c r="BQ21" s="239">
        <v>0</v>
      </c>
      <c r="BR21" s="239">
        <v>0</v>
      </c>
      <c r="BS21" s="242">
        <v>11735000</v>
      </c>
    </row>
    <row r="22" spans="1:71" s="164" customFormat="1" ht="30" customHeight="1" x14ac:dyDescent="0.3">
      <c r="A22" s="238">
        <v>83</v>
      </c>
      <c r="B22" s="238" t="s">
        <v>139</v>
      </c>
      <c r="C22" s="238" t="s">
        <v>77</v>
      </c>
      <c r="D22" s="238">
        <v>13156</v>
      </c>
      <c r="E22" s="238">
        <v>2026</v>
      </c>
      <c r="F22" s="238" t="s">
        <v>275</v>
      </c>
      <c r="G22" s="238">
        <v>2</v>
      </c>
      <c r="H22" s="238">
        <v>6</v>
      </c>
      <c r="I22" s="238" t="s">
        <v>703</v>
      </c>
      <c r="J22" s="239">
        <v>5780000</v>
      </c>
      <c r="K22" s="239">
        <v>3731000</v>
      </c>
      <c r="L22" s="239">
        <v>0</v>
      </c>
      <c r="M22" s="239">
        <v>35449000</v>
      </c>
      <c r="N22" s="239">
        <v>50255000</v>
      </c>
      <c r="O22" s="239">
        <v>6377000</v>
      </c>
      <c r="P22" s="239">
        <v>52863000</v>
      </c>
      <c r="Q22" s="242">
        <v>154455000</v>
      </c>
      <c r="R22" s="239">
        <v>15074000</v>
      </c>
      <c r="S22" s="239">
        <v>0</v>
      </c>
      <c r="T22" s="239">
        <v>0</v>
      </c>
      <c r="U22" s="239">
        <v>23668000</v>
      </c>
      <c r="V22" s="239">
        <v>276647000</v>
      </c>
      <c r="W22" s="239">
        <v>210529000</v>
      </c>
      <c r="X22" s="242">
        <v>66118000</v>
      </c>
      <c r="Y22" s="239">
        <v>40770000</v>
      </c>
      <c r="Z22" s="242">
        <v>145630000</v>
      </c>
      <c r="AA22" s="242">
        <v>300085000</v>
      </c>
      <c r="AB22" s="239">
        <v>1641000</v>
      </c>
      <c r="AC22" s="239">
        <v>221000</v>
      </c>
      <c r="AD22" s="239">
        <v>76690000</v>
      </c>
      <c r="AE22" s="239">
        <v>77527000</v>
      </c>
      <c r="AF22" s="242">
        <v>156079000</v>
      </c>
      <c r="AG22" s="239">
        <v>65498000</v>
      </c>
      <c r="AH22" s="239">
        <v>0</v>
      </c>
      <c r="AI22" s="239">
        <v>64068000</v>
      </c>
      <c r="AJ22" s="242">
        <v>129566000</v>
      </c>
      <c r="AK22" s="242">
        <v>285645000</v>
      </c>
      <c r="AL22" s="239">
        <v>13340000</v>
      </c>
      <c r="AM22" s="239">
        <v>0</v>
      </c>
      <c r="AN22" s="239">
        <v>1100000</v>
      </c>
      <c r="AO22" s="242">
        <v>14440000</v>
      </c>
      <c r="AP22" s="242">
        <v>300085000</v>
      </c>
      <c r="AQ22" s="239">
        <v>151628000</v>
      </c>
      <c r="AR22" s="239">
        <v>0</v>
      </c>
      <c r="AS22" s="239">
        <v>31427000</v>
      </c>
      <c r="AT22" s="239">
        <v>0</v>
      </c>
      <c r="AU22" s="239">
        <v>0</v>
      </c>
      <c r="AV22" s="239">
        <v>0</v>
      </c>
      <c r="AW22" s="242">
        <v>183055000</v>
      </c>
      <c r="AX22" s="239">
        <v>324000</v>
      </c>
      <c r="AY22" s="239">
        <v>0</v>
      </c>
      <c r="AZ22" s="239">
        <v>-113000</v>
      </c>
      <c r="BA22" s="239">
        <v>52000</v>
      </c>
      <c r="BB22" s="239">
        <v>256000</v>
      </c>
      <c r="BC22" s="242">
        <v>519000</v>
      </c>
      <c r="BD22" s="242">
        <v>183574000</v>
      </c>
      <c r="BE22" s="239">
        <v>84847000</v>
      </c>
      <c r="BF22" s="239">
        <v>0</v>
      </c>
      <c r="BG22" s="239">
        <v>6361000</v>
      </c>
      <c r="BH22" s="239">
        <v>1816000</v>
      </c>
      <c r="BI22" s="239">
        <v>6785000</v>
      </c>
      <c r="BJ22" s="239">
        <v>86462000</v>
      </c>
      <c r="BK22" s="239">
        <v>0</v>
      </c>
      <c r="BL22" s="242">
        <v>186271000</v>
      </c>
      <c r="BM22" s="242">
        <v>-2697000</v>
      </c>
      <c r="BN22" s="239">
        <v>0</v>
      </c>
      <c r="BO22" s="239">
        <v>249000</v>
      </c>
      <c r="BP22" s="239">
        <v>-2448000</v>
      </c>
      <c r="BQ22" s="239">
        <v>0</v>
      </c>
      <c r="BR22" s="239">
        <v>0</v>
      </c>
      <c r="BS22" s="242">
        <v>-2448000</v>
      </c>
    </row>
    <row r="23" spans="1:71" s="202" customFormat="1" ht="30" customHeight="1" x14ac:dyDescent="0.3">
      <c r="A23" s="233">
        <v>85</v>
      </c>
      <c r="B23" s="233" t="s">
        <v>191</v>
      </c>
      <c r="C23" s="233" t="s">
        <v>77</v>
      </c>
      <c r="D23" s="233">
        <v>12775</v>
      </c>
      <c r="E23" s="233">
        <v>2026</v>
      </c>
      <c r="F23" s="233" t="s">
        <v>275</v>
      </c>
      <c r="G23" s="233">
        <v>2</v>
      </c>
      <c r="H23" s="233">
        <v>6</v>
      </c>
      <c r="I23" s="233" t="s">
        <v>703</v>
      </c>
      <c r="J23" s="234">
        <v>15132000</v>
      </c>
      <c r="K23" s="234">
        <v>0</v>
      </c>
      <c r="L23" s="234">
        <v>778000</v>
      </c>
      <c r="M23" s="234">
        <v>80724000</v>
      </c>
      <c r="N23" s="234">
        <v>35577000</v>
      </c>
      <c r="O23" s="234">
        <v>22860000</v>
      </c>
      <c r="P23" s="234">
        <v>8796000</v>
      </c>
      <c r="Q23" s="242">
        <v>163867000</v>
      </c>
      <c r="R23" s="234">
        <v>9350000</v>
      </c>
      <c r="S23" s="234">
        <v>0</v>
      </c>
      <c r="T23" s="234">
        <v>0</v>
      </c>
      <c r="U23" s="234">
        <v>17618000</v>
      </c>
      <c r="V23" s="234">
        <v>625949000</v>
      </c>
      <c r="W23" s="234">
        <v>420202000</v>
      </c>
      <c r="X23" s="242">
        <v>205747000</v>
      </c>
      <c r="Y23" s="234">
        <v>297556000</v>
      </c>
      <c r="Z23" s="242">
        <v>530271000</v>
      </c>
      <c r="AA23" s="242">
        <v>694138000</v>
      </c>
      <c r="AB23" s="234">
        <v>1825000</v>
      </c>
      <c r="AC23" s="234">
        <v>10495000</v>
      </c>
      <c r="AD23" s="234">
        <v>-67803000</v>
      </c>
      <c r="AE23" s="234">
        <v>92068000</v>
      </c>
      <c r="AF23" s="242">
        <v>36585000</v>
      </c>
      <c r="AG23" s="234">
        <v>68116000</v>
      </c>
      <c r="AH23" s="234">
        <v>0</v>
      </c>
      <c r="AI23" s="234">
        <v>380507000</v>
      </c>
      <c r="AJ23" s="242">
        <v>448623000</v>
      </c>
      <c r="AK23" s="242">
        <v>485208000</v>
      </c>
      <c r="AL23" s="234">
        <v>199986000</v>
      </c>
      <c r="AM23" s="234">
        <v>3716000</v>
      </c>
      <c r="AN23" s="234">
        <v>5228000</v>
      </c>
      <c r="AO23" s="242">
        <v>208930000</v>
      </c>
      <c r="AP23" s="242">
        <v>694138000</v>
      </c>
      <c r="AQ23" s="234">
        <v>323157000</v>
      </c>
      <c r="AR23" s="234">
        <v>0</v>
      </c>
      <c r="AS23" s="234">
        <v>22674000</v>
      </c>
      <c r="AT23" s="234">
        <v>0</v>
      </c>
      <c r="AU23" s="234">
        <v>0</v>
      </c>
      <c r="AV23" s="234">
        <v>511000</v>
      </c>
      <c r="AW23" s="242">
        <v>346342000</v>
      </c>
      <c r="AX23" s="234">
        <v>229000</v>
      </c>
      <c r="AY23" s="234">
        <v>27000</v>
      </c>
      <c r="AZ23" s="234">
        <v>35000</v>
      </c>
      <c r="BA23" s="234">
        <v>0</v>
      </c>
      <c r="BB23" s="234">
        <v>-373000</v>
      </c>
      <c r="BC23" s="242">
        <v>-82000</v>
      </c>
      <c r="BD23" s="242">
        <v>346260000</v>
      </c>
      <c r="BE23" s="234">
        <v>152649000</v>
      </c>
      <c r="BF23" s="234">
        <v>9927000</v>
      </c>
      <c r="BG23" s="234">
        <v>11606000</v>
      </c>
      <c r="BH23" s="234">
        <v>5505000</v>
      </c>
      <c r="BI23" s="234">
        <v>22328000</v>
      </c>
      <c r="BJ23" s="234">
        <v>134599000</v>
      </c>
      <c r="BK23" s="234">
        <v>0</v>
      </c>
      <c r="BL23" s="242">
        <v>336614000</v>
      </c>
      <c r="BM23" s="242">
        <v>9646000</v>
      </c>
      <c r="BN23" s="234">
        <v>37492000</v>
      </c>
      <c r="BO23" s="234">
        <v>1135000</v>
      </c>
      <c r="BP23" s="234">
        <v>48273000</v>
      </c>
      <c r="BQ23" s="234">
        <v>0</v>
      </c>
      <c r="BR23" s="234">
        <v>0</v>
      </c>
      <c r="BS23" s="242">
        <v>48273000</v>
      </c>
    </row>
    <row r="24" spans="1:71" s="164" customFormat="1" ht="30" customHeight="1" x14ac:dyDescent="0.3">
      <c r="A24" s="238">
        <v>88</v>
      </c>
      <c r="B24" s="238" t="s">
        <v>145</v>
      </c>
      <c r="C24" s="238" t="s">
        <v>77</v>
      </c>
      <c r="D24" s="238">
        <v>3791</v>
      </c>
      <c r="E24" s="238">
        <v>2026</v>
      </c>
      <c r="F24" s="238" t="s">
        <v>275</v>
      </c>
      <c r="G24" s="238">
        <v>2</v>
      </c>
      <c r="H24" s="238">
        <v>6</v>
      </c>
      <c r="I24" s="238" t="s">
        <v>703</v>
      </c>
      <c r="J24" s="239">
        <v>-4701000</v>
      </c>
      <c r="K24" s="239">
        <v>33736000</v>
      </c>
      <c r="L24" s="239">
        <v>7405000</v>
      </c>
      <c r="M24" s="239">
        <v>17574000</v>
      </c>
      <c r="N24" s="239">
        <v>588000</v>
      </c>
      <c r="O24" s="239">
        <v>0</v>
      </c>
      <c r="P24" s="239">
        <v>7840000</v>
      </c>
      <c r="Q24" s="242">
        <v>62442000</v>
      </c>
      <c r="R24" s="239">
        <v>61676000</v>
      </c>
      <c r="S24" s="239">
        <v>2397000</v>
      </c>
      <c r="T24" s="239">
        <v>0</v>
      </c>
      <c r="U24" s="239">
        <v>0</v>
      </c>
      <c r="V24" s="239">
        <v>183519000</v>
      </c>
      <c r="W24" s="239">
        <v>88529000</v>
      </c>
      <c r="X24" s="242">
        <v>94990000</v>
      </c>
      <c r="Y24" s="239">
        <v>24917000</v>
      </c>
      <c r="Z24" s="242">
        <v>183980000</v>
      </c>
      <c r="AA24" s="242">
        <v>246422000</v>
      </c>
      <c r="AB24" s="239">
        <v>48000</v>
      </c>
      <c r="AC24" s="239">
        <v>12985000</v>
      </c>
      <c r="AD24" s="239">
        <v>4762000</v>
      </c>
      <c r="AE24" s="239">
        <v>6640000</v>
      </c>
      <c r="AF24" s="242">
        <v>24435000</v>
      </c>
      <c r="AG24" s="239">
        <v>503000</v>
      </c>
      <c r="AH24" s="239">
        <v>0</v>
      </c>
      <c r="AI24" s="239">
        <v>11121000</v>
      </c>
      <c r="AJ24" s="242">
        <v>11624000</v>
      </c>
      <c r="AK24" s="242">
        <v>36059000</v>
      </c>
      <c r="AL24" s="239">
        <v>191745000</v>
      </c>
      <c r="AM24" s="239">
        <v>18618000</v>
      </c>
      <c r="AN24" s="239">
        <v>0</v>
      </c>
      <c r="AO24" s="242">
        <v>210363000</v>
      </c>
      <c r="AP24" s="242">
        <v>246422000</v>
      </c>
      <c r="AQ24" s="239">
        <v>66808000</v>
      </c>
      <c r="AR24" s="239">
        <v>0</v>
      </c>
      <c r="AS24" s="239">
        <v>5185000</v>
      </c>
      <c r="AT24" s="239">
        <v>0</v>
      </c>
      <c r="AU24" s="239">
        <v>0</v>
      </c>
      <c r="AV24" s="239">
        <v>0</v>
      </c>
      <c r="AW24" s="242">
        <v>71993000</v>
      </c>
      <c r="AX24" s="239">
        <v>3704000</v>
      </c>
      <c r="AY24" s="239">
        <v>1585000</v>
      </c>
      <c r="AZ24" s="239">
        <v>-2406000</v>
      </c>
      <c r="BA24" s="239">
        <v>0</v>
      </c>
      <c r="BB24" s="239">
        <v>261000</v>
      </c>
      <c r="BC24" s="242">
        <v>3144000</v>
      </c>
      <c r="BD24" s="242">
        <v>75137000</v>
      </c>
      <c r="BE24" s="239">
        <v>48267000</v>
      </c>
      <c r="BF24" s="239">
        <v>0</v>
      </c>
      <c r="BG24" s="239">
        <v>3996000</v>
      </c>
      <c r="BH24" s="239">
        <v>22000</v>
      </c>
      <c r="BI24" s="239">
        <v>256000</v>
      </c>
      <c r="BJ24" s="239">
        <v>30433000</v>
      </c>
      <c r="BK24" s="239">
        <v>0</v>
      </c>
      <c r="BL24" s="242">
        <v>82974000</v>
      </c>
      <c r="BM24" s="242">
        <v>-7837000</v>
      </c>
      <c r="BN24" s="239">
        <v>-1913000</v>
      </c>
      <c r="BO24" s="239">
        <v>12988000</v>
      </c>
      <c r="BP24" s="239">
        <v>3238000</v>
      </c>
      <c r="BQ24" s="239">
        <v>0</v>
      </c>
      <c r="BR24" s="239">
        <v>0</v>
      </c>
      <c r="BS24" s="242">
        <v>3238000</v>
      </c>
    </row>
    <row r="25" spans="1:71" s="202" customFormat="1" ht="30" customHeight="1" x14ac:dyDescent="0.3">
      <c r="A25" s="238">
        <v>89</v>
      </c>
      <c r="B25" s="238" t="s">
        <v>146</v>
      </c>
      <c r="C25" s="238" t="s">
        <v>77</v>
      </c>
      <c r="D25" s="238">
        <v>3791</v>
      </c>
      <c r="E25" s="238">
        <v>2026</v>
      </c>
      <c r="F25" s="238" t="s">
        <v>275</v>
      </c>
      <c r="G25" s="238">
        <v>2</v>
      </c>
      <c r="H25" s="238">
        <v>6</v>
      </c>
      <c r="I25" s="238" t="s">
        <v>703</v>
      </c>
      <c r="J25" s="239">
        <v>-61209000</v>
      </c>
      <c r="K25" s="239">
        <v>-29902000</v>
      </c>
      <c r="L25" s="239">
        <v>6698000</v>
      </c>
      <c r="M25" s="239">
        <v>39576000</v>
      </c>
      <c r="N25" s="239">
        <v>31519000</v>
      </c>
      <c r="O25" s="239">
        <v>2223000</v>
      </c>
      <c r="P25" s="239">
        <v>13954000</v>
      </c>
      <c r="Q25" s="242">
        <v>2859000</v>
      </c>
      <c r="R25" s="239">
        <v>68054000</v>
      </c>
      <c r="S25" s="239">
        <v>0</v>
      </c>
      <c r="T25" s="239">
        <v>0</v>
      </c>
      <c r="U25" s="239">
        <v>0</v>
      </c>
      <c r="V25" s="239">
        <v>384583000</v>
      </c>
      <c r="W25" s="239">
        <v>228476000</v>
      </c>
      <c r="X25" s="242">
        <v>156107000</v>
      </c>
      <c r="Y25" s="239">
        <v>45804000</v>
      </c>
      <c r="Z25" s="242">
        <v>269965000</v>
      </c>
      <c r="AA25" s="242">
        <v>272824000</v>
      </c>
      <c r="AB25" s="239">
        <v>9034000</v>
      </c>
      <c r="AC25" s="239">
        <v>540000</v>
      </c>
      <c r="AD25" s="239">
        <v>43051000</v>
      </c>
      <c r="AE25" s="239">
        <v>25691000</v>
      </c>
      <c r="AF25" s="242">
        <v>78316000</v>
      </c>
      <c r="AG25" s="239">
        <v>101073000</v>
      </c>
      <c r="AH25" s="239">
        <v>0</v>
      </c>
      <c r="AI25" s="239">
        <v>46521000</v>
      </c>
      <c r="AJ25" s="242">
        <v>147594000</v>
      </c>
      <c r="AK25" s="242">
        <v>225910000</v>
      </c>
      <c r="AL25" s="239">
        <v>45372000</v>
      </c>
      <c r="AM25" s="239">
        <v>1542000</v>
      </c>
      <c r="AN25" s="239">
        <v>0</v>
      </c>
      <c r="AO25" s="242">
        <v>46914000</v>
      </c>
      <c r="AP25" s="242">
        <v>272824000</v>
      </c>
      <c r="AQ25" s="239">
        <v>177846000</v>
      </c>
      <c r="AR25" s="239">
        <v>0</v>
      </c>
      <c r="AS25" s="239">
        <v>38282000</v>
      </c>
      <c r="AT25" s="239">
        <v>0</v>
      </c>
      <c r="AU25" s="239">
        <v>0</v>
      </c>
      <c r="AV25" s="239">
        <v>0</v>
      </c>
      <c r="AW25" s="242">
        <v>216128000</v>
      </c>
      <c r="AX25" s="239">
        <v>-274000</v>
      </c>
      <c r="AY25" s="239">
        <v>-2277000</v>
      </c>
      <c r="AZ25" s="239">
        <v>-12000</v>
      </c>
      <c r="BA25" s="239">
        <v>0</v>
      </c>
      <c r="BB25" s="239">
        <v>5355000</v>
      </c>
      <c r="BC25" s="242">
        <v>2792000</v>
      </c>
      <c r="BD25" s="242">
        <v>218920000</v>
      </c>
      <c r="BE25" s="239">
        <v>75236000</v>
      </c>
      <c r="BF25" s="239">
        <v>0</v>
      </c>
      <c r="BG25" s="239">
        <v>11928000</v>
      </c>
      <c r="BH25" s="239">
        <v>2311000</v>
      </c>
      <c r="BI25" s="239">
        <v>1007000</v>
      </c>
      <c r="BJ25" s="239">
        <v>126304000</v>
      </c>
      <c r="BK25" s="239">
        <v>0</v>
      </c>
      <c r="BL25" s="242">
        <v>216786000</v>
      </c>
      <c r="BM25" s="242">
        <v>2134000</v>
      </c>
      <c r="BN25" s="239">
        <v>2862000</v>
      </c>
      <c r="BO25" s="239">
        <v>3000</v>
      </c>
      <c r="BP25" s="239">
        <v>4999000</v>
      </c>
      <c r="BQ25" s="239">
        <v>0</v>
      </c>
      <c r="BR25" s="239">
        <v>0</v>
      </c>
      <c r="BS25" s="242">
        <v>4999000</v>
      </c>
    </row>
    <row r="26" spans="1:71" s="164" customFormat="1" ht="30" customHeight="1" x14ac:dyDescent="0.3">
      <c r="A26" s="238">
        <v>91</v>
      </c>
      <c r="B26" s="238" t="s">
        <v>147</v>
      </c>
      <c r="C26" s="238" t="s">
        <v>77</v>
      </c>
      <c r="D26" s="238">
        <v>3791</v>
      </c>
      <c r="E26" s="238">
        <v>2026</v>
      </c>
      <c r="F26" s="238" t="s">
        <v>275</v>
      </c>
      <c r="G26" s="238">
        <v>2</v>
      </c>
      <c r="H26" s="238">
        <v>6</v>
      </c>
      <c r="I26" s="238" t="s">
        <v>703</v>
      </c>
      <c r="J26" s="239">
        <v>488498000</v>
      </c>
      <c r="K26" s="239">
        <v>-76458000</v>
      </c>
      <c r="L26" s="239">
        <v>217472000</v>
      </c>
      <c r="M26" s="239">
        <v>681483000</v>
      </c>
      <c r="N26" s="239">
        <v>878464000</v>
      </c>
      <c r="O26" s="239">
        <v>9374000</v>
      </c>
      <c r="P26" s="239">
        <v>424153000</v>
      </c>
      <c r="Q26" s="242">
        <v>2622986000</v>
      </c>
      <c r="R26" s="239">
        <v>2434390000</v>
      </c>
      <c r="S26" s="239">
        <v>113162000</v>
      </c>
      <c r="T26" s="239">
        <v>3022465000</v>
      </c>
      <c r="U26" s="239">
        <v>0</v>
      </c>
      <c r="V26" s="239">
        <v>6992861000</v>
      </c>
      <c r="W26" s="239">
        <v>3285704000</v>
      </c>
      <c r="X26" s="242">
        <v>3707157000</v>
      </c>
      <c r="Y26" s="239">
        <v>255615000</v>
      </c>
      <c r="Z26" s="242">
        <v>9532789000</v>
      </c>
      <c r="AA26" s="242">
        <v>12155775000</v>
      </c>
      <c r="AB26" s="239">
        <v>76284000</v>
      </c>
      <c r="AC26" s="239">
        <v>22597000</v>
      </c>
      <c r="AD26" s="239">
        <v>953868000</v>
      </c>
      <c r="AE26" s="239">
        <v>489011000</v>
      </c>
      <c r="AF26" s="242">
        <v>1541760000</v>
      </c>
      <c r="AG26" s="239">
        <v>1520540000</v>
      </c>
      <c r="AH26" s="239">
        <v>0</v>
      </c>
      <c r="AI26" s="239">
        <v>1130763000</v>
      </c>
      <c r="AJ26" s="242">
        <v>2651303000</v>
      </c>
      <c r="AK26" s="242">
        <v>4193063000</v>
      </c>
      <c r="AL26" s="239">
        <v>4761360000</v>
      </c>
      <c r="AM26" s="239">
        <v>3201352000</v>
      </c>
      <c r="AN26" s="239">
        <v>0</v>
      </c>
      <c r="AO26" s="242">
        <v>7962712000</v>
      </c>
      <c r="AP26" s="242">
        <v>12155775000</v>
      </c>
      <c r="AQ26" s="239">
        <v>2432577000</v>
      </c>
      <c r="AR26" s="239">
        <v>0</v>
      </c>
      <c r="AS26" s="239">
        <v>1479963000</v>
      </c>
      <c r="AT26" s="239">
        <v>0</v>
      </c>
      <c r="AU26" s="239">
        <v>0</v>
      </c>
      <c r="AV26" s="239">
        <v>0</v>
      </c>
      <c r="AW26" s="242">
        <v>3912540000</v>
      </c>
      <c r="AX26" s="239">
        <v>6691000</v>
      </c>
      <c r="AY26" s="239">
        <v>0</v>
      </c>
      <c r="AZ26" s="239">
        <v>-2375000</v>
      </c>
      <c r="BA26" s="239">
        <v>0</v>
      </c>
      <c r="BB26" s="239">
        <v>85354000</v>
      </c>
      <c r="BC26" s="242">
        <v>89670000</v>
      </c>
      <c r="BD26" s="242">
        <v>4002210000</v>
      </c>
      <c r="BE26" s="239">
        <v>1158674000</v>
      </c>
      <c r="BF26" s="239">
        <v>0</v>
      </c>
      <c r="BG26" s="239">
        <v>144102000</v>
      </c>
      <c r="BH26" s="239">
        <v>9064000</v>
      </c>
      <c r="BI26" s="239">
        <v>16042000</v>
      </c>
      <c r="BJ26" s="239">
        <v>2280934000</v>
      </c>
      <c r="BK26" s="239">
        <v>0</v>
      </c>
      <c r="BL26" s="242">
        <v>3608816000</v>
      </c>
      <c r="BM26" s="242">
        <v>393394000</v>
      </c>
      <c r="BN26" s="239">
        <v>34973000</v>
      </c>
      <c r="BO26" s="239">
        <v>65000</v>
      </c>
      <c r="BP26" s="239">
        <v>428432000</v>
      </c>
      <c r="BQ26" s="239">
        <v>0</v>
      </c>
      <c r="BR26" s="239">
        <v>0</v>
      </c>
      <c r="BS26" s="242">
        <v>428432000</v>
      </c>
    </row>
    <row r="27" spans="1:71" s="202" customFormat="1" ht="30" customHeight="1" x14ac:dyDescent="0.3">
      <c r="A27" s="233">
        <v>97</v>
      </c>
      <c r="B27" s="233" t="s">
        <v>159</v>
      </c>
      <c r="C27" s="233" t="s">
        <v>77</v>
      </c>
      <c r="D27" s="233">
        <v>6755</v>
      </c>
      <c r="E27" s="233">
        <v>2026</v>
      </c>
      <c r="F27" s="233" t="s">
        <v>275</v>
      </c>
      <c r="G27" s="233">
        <v>2</v>
      </c>
      <c r="H27" s="233">
        <v>6</v>
      </c>
      <c r="I27" s="233" t="s">
        <v>703</v>
      </c>
      <c r="J27" s="234">
        <v>13324000</v>
      </c>
      <c r="K27" s="234">
        <v>489000</v>
      </c>
      <c r="L27" s="234">
        <v>0</v>
      </c>
      <c r="M27" s="234">
        <v>36826000</v>
      </c>
      <c r="N27" s="234">
        <v>36570000</v>
      </c>
      <c r="O27" s="234">
        <v>0</v>
      </c>
      <c r="P27" s="234">
        <v>4879000</v>
      </c>
      <c r="Q27" s="242">
        <v>92088000</v>
      </c>
      <c r="R27" s="234">
        <v>4411000</v>
      </c>
      <c r="S27" s="234">
        <v>0</v>
      </c>
      <c r="T27" s="234">
        <v>0</v>
      </c>
      <c r="U27" s="234">
        <v>0</v>
      </c>
      <c r="V27" s="234">
        <v>221517000</v>
      </c>
      <c r="W27" s="234">
        <v>106908000</v>
      </c>
      <c r="X27" s="242">
        <v>114609000</v>
      </c>
      <c r="Y27" s="234">
        <v>52466000</v>
      </c>
      <c r="Z27" s="242">
        <v>171486000</v>
      </c>
      <c r="AA27" s="242">
        <v>263574000</v>
      </c>
      <c r="AB27" s="234">
        <v>0</v>
      </c>
      <c r="AC27" s="234">
        <v>894000</v>
      </c>
      <c r="AD27" s="234">
        <v>69698000</v>
      </c>
      <c r="AE27" s="234">
        <v>21659000</v>
      </c>
      <c r="AF27" s="242">
        <v>92251000</v>
      </c>
      <c r="AG27" s="234">
        <v>0</v>
      </c>
      <c r="AH27" s="234">
        <v>79196000</v>
      </c>
      <c r="AI27" s="234">
        <v>13342000</v>
      </c>
      <c r="AJ27" s="242">
        <v>92538000</v>
      </c>
      <c r="AK27" s="242">
        <v>184789000</v>
      </c>
      <c r="AL27" s="234">
        <v>78609000</v>
      </c>
      <c r="AM27" s="234">
        <v>176000</v>
      </c>
      <c r="AN27" s="234">
        <v>0</v>
      </c>
      <c r="AO27" s="242">
        <v>78785000</v>
      </c>
      <c r="AP27" s="242">
        <v>263574000</v>
      </c>
      <c r="AQ27" s="234">
        <v>155591000</v>
      </c>
      <c r="AR27" s="234">
        <v>0</v>
      </c>
      <c r="AS27" s="234">
        <v>7207000</v>
      </c>
      <c r="AT27" s="234">
        <v>0</v>
      </c>
      <c r="AU27" s="234">
        <v>0</v>
      </c>
      <c r="AV27" s="234">
        <v>365000</v>
      </c>
      <c r="AW27" s="242">
        <v>163163000</v>
      </c>
      <c r="AX27" s="234">
        <v>10683000</v>
      </c>
      <c r="AY27" s="234">
        <v>11000</v>
      </c>
      <c r="AZ27" s="234"/>
      <c r="BA27" s="234">
        <v>604000</v>
      </c>
      <c r="BB27" s="234">
        <v>0</v>
      </c>
      <c r="BC27" s="242">
        <v>11298000</v>
      </c>
      <c r="BD27" s="242">
        <v>174461000</v>
      </c>
      <c r="BE27" s="234">
        <v>78055000</v>
      </c>
      <c r="BF27" s="234">
        <v>0</v>
      </c>
      <c r="BG27" s="234">
        <v>5176000</v>
      </c>
      <c r="BH27" s="234">
        <v>2960000</v>
      </c>
      <c r="BI27" s="234">
        <v>2333000</v>
      </c>
      <c r="BJ27" s="234">
        <v>71152000</v>
      </c>
      <c r="BK27" s="234">
        <v>0</v>
      </c>
      <c r="BL27" s="242">
        <v>159676000</v>
      </c>
      <c r="BM27" s="242">
        <v>14785000</v>
      </c>
      <c r="BN27" s="234">
        <v>0</v>
      </c>
      <c r="BO27" s="234">
        <v>0</v>
      </c>
      <c r="BP27" s="234">
        <v>14785000</v>
      </c>
      <c r="BQ27" s="234">
        <v>0</v>
      </c>
      <c r="BR27" s="234">
        <v>0</v>
      </c>
      <c r="BS27" s="242">
        <v>14785000</v>
      </c>
    </row>
    <row r="28" spans="1:71" s="164" customFormat="1" ht="30" customHeight="1" x14ac:dyDescent="0.3">
      <c r="A28" s="233">
        <v>98</v>
      </c>
      <c r="B28" s="233" t="s">
        <v>92</v>
      </c>
      <c r="C28" s="233" t="s">
        <v>77</v>
      </c>
      <c r="D28" s="233">
        <v>16665</v>
      </c>
      <c r="E28" s="233">
        <v>2026</v>
      </c>
      <c r="F28" s="233" t="s">
        <v>275</v>
      </c>
      <c r="G28" s="233">
        <v>2</v>
      </c>
      <c r="H28" s="233">
        <v>6</v>
      </c>
      <c r="I28" s="233" t="s">
        <v>703</v>
      </c>
      <c r="J28" s="234">
        <v>901000</v>
      </c>
      <c r="K28" s="234">
        <v>45059000</v>
      </c>
      <c r="L28" s="234">
        <v>0</v>
      </c>
      <c r="M28" s="234">
        <v>20127000</v>
      </c>
      <c r="N28" s="234">
        <v>0</v>
      </c>
      <c r="O28" s="234">
        <v>0</v>
      </c>
      <c r="P28" s="234">
        <v>3299000</v>
      </c>
      <c r="Q28" s="242">
        <v>69386000</v>
      </c>
      <c r="R28" s="234">
        <v>14805000</v>
      </c>
      <c r="S28" s="234">
        <v>641000</v>
      </c>
      <c r="T28" s="234">
        <v>0</v>
      </c>
      <c r="U28" s="234">
        <v>0</v>
      </c>
      <c r="V28" s="234">
        <v>193774000</v>
      </c>
      <c r="W28" s="234">
        <v>89019000</v>
      </c>
      <c r="X28" s="242">
        <v>104755000</v>
      </c>
      <c r="Y28" s="234">
        <v>5830000</v>
      </c>
      <c r="Z28" s="242">
        <v>126031000</v>
      </c>
      <c r="AA28" s="242">
        <v>195417000</v>
      </c>
      <c r="AB28" s="234">
        <v>1586000</v>
      </c>
      <c r="AC28" s="234">
        <v>3556000</v>
      </c>
      <c r="AD28" s="234">
        <v>1587000</v>
      </c>
      <c r="AE28" s="234">
        <v>19808000</v>
      </c>
      <c r="AF28" s="242">
        <v>26537000</v>
      </c>
      <c r="AG28" s="234">
        <v>53462000</v>
      </c>
      <c r="AH28" s="234">
        <v>0</v>
      </c>
      <c r="AI28" s="234">
        <v>2222000</v>
      </c>
      <c r="AJ28" s="242">
        <v>55684000</v>
      </c>
      <c r="AK28" s="242">
        <v>82221000</v>
      </c>
      <c r="AL28" s="234">
        <v>98467000</v>
      </c>
      <c r="AM28" s="234">
        <v>11777000</v>
      </c>
      <c r="AN28" s="234">
        <v>2952000</v>
      </c>
      <c r="AO28" s="242">
        <v>113196000</v>
      </c>
      <c r="AP28" s="242">
        <v>195417000</v>
      </c>
      <c r="AQ28" s="234">
        <v>97739000</v>
      </c>
      <c r="AR28" s="234">
        <v>0</v>
      </c>
      <c r="AS28" s="234">
        <v>5732000</v>
      </c>
      <c r="AT28" s="234">
        <v>0</v>
      </c>
      <c r="AU28" s="234">
        <v>0</v>
      </c>
      <c r="AV28" s="234">
        <v>0</v>
      </c>
      <c r="AW28" s="242">
        <v>103471000</v>
      </c>
      <c r="AX28" s="234">
        <v>1382000</v>
      </c>
      <c r="AY28" s="234">
        <v>0</v>
      </c>
      <c r="AZ28" s="234">
        <v>1790000</v>
      </c>
      <c r="BA28" s="234">
        <v>-81000</v>
      </c>
      <c r="BB28" s="234">
        <v>0</v>
      </c>
      <c r="BC28" s="242">
        <v>3091000</v>
      </c>
      <c r="BD28" s="242">
        <v>106562000</v>
      </c>
      <c r="BE28" s="234">
        <v>41201000</v>
      </c>
      <c r="BF28" s="234">
        <v>0</v>
      </c>
      <c r="BG28" s="234">
        <v>4543000</v>
      </c>
      <c r="BH28" s="234">
        <v>615000</v>
      </c>
      <c r="BI28" s="234">
        <v>1345000</v>
      </c>
      <c r="BJ28" s="234">
        <v>43423000</v>
      </c>
      <c r="BK28" s="234">
        <v>0</v>
      </c>
      <c r="BL28" s="242">
        <v>91127000</v>
      </c>
      <c r="BM28" s="242">
        <v>15435000</v>
      </c>
      <c r="BN28" s="234">
        <v>0</v>
      </c>
      <c r="BO28" s="234">
        <v>15000</v>
      </c>
      <c r="BP28" s="234">
        <v>15450000</v>
      </c>
      <c r="BQ28" s="234">
        <v>0</v>
      </c>
      <c r="BR28" s="234">
        <v>0</v>
      </c>
      <c r="BS28" s="242">
        <v>15450000</v>
      </c>
    </row>
    <row r="29" spans="1:71" s="202" customFormat="1" ht="30" customHeight="1" x14ac:dyDescent="0.3">
      <c r="A29" s="238">
        <v>99</v>
      </c>
      <c r="B29" s="238" t="s">
        <v>173</v>
      </c>
      <c r="C29" s="238" t="s">
        <v>77</v>
      </c>
      <c r="D29" s="238">
        <v>22350</v>
      </c>
      <c r="E29" s="238">
        <v>2026</v>
      </c>
      <c r="F29" s="238" t="s">
        <v>275</v>
      </c>
      <c r="G29" s="238">
        <v>2</v>
      </c>
      <c r="H29" s="238">
        <v>6</v>
      </c>
      <c r="I29" s="238" t="s">
        <v>703</v>
      </c>
      <c r="J29" s="239">
        <v>659000</v>
      </c>
      <c r="K29" s="239">
        <v>0</v>
      </c>
      <c r="L29" s="239">
        <v>3811000</v>
      </c>
      <c r="M29" s="239">
        <v>12609000</v>
      </c>
      <c r="N29" s="239">
        <v>393423000</v>
      </c>
      <c r="O29" s="239">
        <v>0</v>
      </c>
      <c r="P29" s="239">
        <v>22051000</v>
      </c>
      <c r="Q29" s="242">
        <v>432553000</v>
      </c>
      <c r="R29" s="239">
        <v>12926000</v>
      </c>
      <c r="S29" s="239">
        <v>0</v>
      </c>
      <c r="T29" s="239">
        <v>0</v>
      </c>
      <c r="U29" s="239">
        <v>0</v>
      </c>
      <c r="V29" s="239">
        <v>101971000</v>
      </c>
      <c r="W29" s="239">
        <v>6562000</v>
      </c>
      <c r="X29" s="242">
        <v>95409000</v>
      </c>
      <c r="Y29" s="239">
        <v>28339000</v>
      </c>
      <c r="Z29" s="242">
        <v>136674000</v>
      </c>
      <c r="AA29" s="242">
        <v>569227000</v>
      </c>
      <c r="AB29" s="239">
        <v>0</v>
      </c>
      <c r="AC29" s="239">
        <v>7000</v>
      </c>
      <c r="AD29" s="239">
        <v>0</v>
      </c>
      <c r="AE29" s="239">
        <v>300754000</v>
      </c>
      <c r="AF29" s="242">
        <v>300761000</v>
      </c>
      <c r="AG29" s="239">
        <v>302338000</v>
      </c>
      <c r="AH29" s="239">
        <v>0</v>
      </c>
      <c r="AI29" s="239">
        <v>14436000</v>
      </c>
      <c r="AJ29" s="242">
        <v>316774000</v>
      </c>
      <c r="AK29" s="242">
        <v>617535000</v>
      </c>
      <c r="AL29" s="239">
        <v>-48308000</v>
      </c>
      <c r="AM29" s="239">
        <v>0</v>
      </c>
      <c r="AN29" s="239">
        <v>0</v>
      </c>
      <c r="AO29" s="242">
        <v>-48308000</v>
      </c>
      <c r="AP29" s="242">
        <v>569227000</v>
      </c>
      <c r="AQ29" s="239">
        <v>78525000</v>
      </c>
      <c r="AR29" s="239">
        <v>0</v>
      </c>
      <c r="AS29" s="239">
        <v>6415000</v>
      </c>
      <c r="AT29" s="239">
        <v>0</v>
      </c>
      <c r="AU29" s="239">
        <v>0</v>
      </c>
      <c r="AV29" s="239">
        <v>0</v>
      </c>
      <c r="AW29" s="242">
        <v>84940000</v>
      </c>
      <c r="AX29" s="239">
        <v>0</v>
      </c>
      <c r="AY29" s="239">
        <v>0</v>
      </c>
      <c r="AZ29" s="239">
        <v>0</v>
      </c>
      <c r="BA29" s="239">
        <v>0</v>
      </c>
      <c r="BB29" s="239">
        <v>0</v>
      </c>
      <c r="BC29" s="242">
        <v>0</v>
      </c>
      <c r="BD29" s="242">
        <v>84940000</v>
      </c>
      <c r="BE29" s="239">
        <v>52934000</v>
      </c>
      <c r="BF29" s="239">
        <v>0</v>
      </c>
      <c r="BG29" s="239">
        <v>3007000</v>
      </c>
      <c r="BH29" s="239">
        <v>4067000</v>
      </c>
      <c r="BI29" s="239">
        <v>5186000</v>
      </c>
      <c r="BJ29" s="239">
        <v>31021000</v>
      </c>
      <c r="BK29" s="239">
        <v>-239000</v>
      </c>
      <c r="BL29" s="242">
        <v>95976000</v>
      </c>
      <c r="BM29" s="242">
        <v>-11036000</v>
      </c>
      <c r="BN29" s="239">
        <v>0</v>
      </c>
      <c r="BO29" s="239">
        <v>0</v>
      </c>
      <c r="BP29" s="239">
        <v>-11036000</v>
      </c>
      <c r="BQ29" s="239">
        <v>0</v>
      </c>
      <c r="BR29" s="239">
        <v>0</v>
      </c>
      <c r="BS29" s="242">
        <v>-11036000</v>
      </c>
    </row>
    <row r="30" spans="1:71" s="164" customFormat="1" ht="30" customHeight="1" x14ac:dyDescent="0.3">
      <c r="A30" s="233">
        <v>100</v>
      </c>
      <c r="B30" s="233" t="s">
        <v>97</v>
      </c>
      <c r="C30" s="233" t="s">
        <v>77</v>
      </c>
      <c r="D30" s="233">
        <v>16665</v>
      </c>
      <c r="E30" s="233">
        <v>2026</v>
      </c>
      <c r="F30" s="233" t="s">
        <v>275</v>
      </c>
      <c r="G30" s="233">
        <v>2</v>
      </c>
      <c r="H30" s="233">
        <v>6</v>
      </c>
      <c r="I30" s="233" t="s">
        <v>703</v>
      </c>
      <c r="J30" s="234">
        <v>0</v>
      </c>
      <c r="K30" s="234">
        <v>135653000</v>
      </c>
      <c r="L30" s="234">
        <v>0</v>
      </c>
      <c r="M30" s="234">
        <v>38054000</v>
      </c>
      <c r="N30" s="234">
        <v>8639000</v>
      </c>
      <c r="O30" s="234">
        <v>0</v>
      </c>
      <c r="P30" s="234">
        <v>7548000</v>
      </c>
      <c r="Q30" s="242">
        <v>189894000</v>
      </c>
      <c r="R30" s="234">
        <v>26087000</v>
      </c>
      <c r="S30" s="234">
        <v>6983000</v>
      </c>
      <c r="T30" s="234">
        <v>0</v>
      </c>
      <c r="U30" s="234">
        <v>0</v>
      </c>
      <c r="V30" s="234">
        <v>669836000</v>
      </c>
      <c r="W30" s="234">
        <v>519830000</v>
      </c>
      <c r="X30" s="242">
        <v>150006000</v>
      </c>
      <c r="Y30" s="234">
        <v>98427000</v>
      </c>
      <c r="Z30" s="242">
        <v>281503000</v>
      </c>
      <c r="AA30" s="242">
        <v>471397000</v>
      </c>
      <c r="AB30" s="234">
        <v>3325000</v>
      </c>
      <c r="AC30" s="234">
        <v>9521000</v>
      </c>
      <c r="AD30" s="234">
        <v>0</v>
      </c>
      <c r="AE30" s="234">
        <v>31145000</v>
      </c>
      <c r="AF30" s="242">
        <v>43991000</v>
      </c>
      <c r="AG30" s="234">
        <v>125298000</v>
      </c>
      <c r="AH30" s="234">
        <v>0</v>
      </c>
      <c r="AI30" s="234">
        <v>49130000</v>
      </c>
      <c r="AJ30" s="242">
        <v>174428000</v>
      </c>
      <c r="AK30" s="242">
        <v>218419000</v>
      </c>
      <c r="AL30" s="234">
        <v>219908000</v>
      </c>
      <c r="AM30" s="234">
        <v>18250000</v>
      </c>
      <c r="AN30" s="234">
        <v>14820000</v>
      </c>
      <c r="AO30" s="242">
        <v>252978000</v>
      </c>
      <c r="AP30" s="242">
        <v>471397000</v>
      </c>
      <c r="AQ30" s="234">
        <v>173759000</v>
      </c>
      <c r="AR30" s="234">
        <v>0</v>
      </c>
      <c r="AS30" s="234">
        <v>13574000</v>
      </c>
      <c r="AT30" s="234">
        <v>0</v>
      </c>
      <c r="AU30" s="234">
        <v>0</v>
      </c>
      <c r="AV30" s="234">
        <v>0</v>
      </c>
      <c r="AW30" s="242">
        <v>187333000</v>
      </c>
      <c r="AX30" s="234">
        <v>4734000</v>
      </c>
      <c r="AY30" s="234">
        <v>0</v>
      </c>
      <c r="AZ30" s="234">
        <v>6092000</v>
      </c>
      <c r="BA30" s="234">
        <v>0</v>
      </c>
      <c r="BB30" s="234">
        <v>0</v>
      </c>
      <c r="BC30" s="242">
        <v>10826000</v>
      </c>
      <c r="BD30" s="242">
        <v>198159000</v>
      </c>
      <c r="BE30" s="234">
        <v>91887000</v>
      </c>
      <c r="BF30" s="234">
        <v>0</v>
      </c>
      <c r="BG30" s="234">
        <v>14909000</v>
      </c>
      <c r="BH30" s="234">
        <v>2039000</v>
      </c>
      <c r="BI30" s="234">
        <v>2979000</v>
      </c>
      <c r="BJ30" s="234">
        <v>87273000</v>
      </c>
      <c r="BK30" s="234">
        <v>0</v>
      </c>
      <c r="BL30" s="242">
        <v>199087000</v>
      </c>
      <c r="BM30" s="242">
        <v>-928000</v>
      </c>
      <c r="BN30" s="234">
        <v>0</v>
      </c>
      <c r="BO30" s="234">
        <v>1311000</v>
      </c>
      <c r="BP30" s="234">
        <v>383000</v>
      </c>
      <c r="BQ30" s="234">
        <v>0</v>
      </c>
      <c r="BR30" s="234">
        <v>0</v>
      </c>
      <c r="BS30" s="242">
        <v>383000</v>
      </c>
    </row>
    <row r="31" spans="1:71" s="202" customFormat="1" ht="30" customHeight="1" x14ac:dyDescent="0.3">
      <c r="A31" s="238">
        <v>101</v>
      </c>
      <c r="B31" s="238" t="s">
        <v>148</v>
      </c>
      <c r="C31" s="238" t="s">
        <v>77</v>
      </c>
      <c r="D31" s="238">
        <v>3791</v>
      </c>
      <c r="E31" s="238">
        <v>2026</v>
      </c>
      <c r="F31" s="238" t="s">
        <v>275</v>
      </c>
      <c r="G31" s="238">
        <v>2</v>
      </c>
      <c r="H31" s="238">
        <v>6</v>
      </c>
      <c r="I31" s="238" t="s">
        <v>703</v>
      </c>
      <c r="J31" s="239">
        <v>29574000</v>
      </c>
      <c r="K31" s="239">
        <v>-14713000</v>
      </c>
      <c r="L31" s="239">
        <v>9385000</v>
      </c>
      <c r="M31" s="239">
        <v>16438000</v>
      </c>
      <c r="N31" s="239">
        <v>5116000</v>
      </c>
      <c r="O31" s="239">
        <v>190000</v>
      </c>
      <c r="P31" s="239">
        <v>5339000</v>
      </c>
      <c r="Q31" s="242">
        <v>51329000</v>
      </c>
      <c r="R31" s="239">
        <v>9968000</v>
      </c>
      <c r="S31" s="239">
        <v>6873000</v>
      </c>
      <c r="T31" s="239">
        <v>0</v>
      </c>
      <c r="U31" s="239">
        <v>0</v>
      </c>
      <c r="V31" s="239">
        <v>150558000</v>
      </c>
      <c r="W31" s="239">
        <v>55344000</v>
      </c>
      <c r="X31" s="242">
        <v>95214000</v>
      </c>
      <c r="Y31" s="239">
        <v>45884000</v>
      </c>
      <c r="Z31" s="242">
        <v>157939000</v>
      </c>
      <c r="AA31" s="242">
        <v>209268000</v>
      </c>
      <c r="AB31" s="239">
        <v>106000</v>
      </c>
      <c r="AC31" s="239">
        <v>396000</v>
      </c>
      <c r="AD31" s="239">
        <v>6919000</v>
      </c>
      <c r="AE31" s="239">
        <v>1303000</v>
      </c>
      <c r="AF31" s="242">
        <v>8724000</v>
      </c>
      <c r="AG31" s="239">
        <v>1447000</v>
      </c>
      <c r="AH31" s="239">
        <v>0</v>
      </c>
      <c r="AI31" s="239">
        <v>2049000</v>
      </c>
      <c r="AJ31" s="242">
        <v>3496000</v>
      </c>
      <c r="AK31" s="242">
        <v>12220000</v>
      </c>
      <c r="AL31" s="239">
        <v>130817000</v>
      </c>
      <c r="AM31" s="239">
        <v>66231000</v>
      </c>
      <c r="AN31" s="239">
        <v>0</v>
      </c>
      <c r="AO31" s="242">
        <v>197048000</v>
      </c>
      <c r="AP31" s="242">
        <v>209268000</v>
      </c>
      <c r="AQ31" s="239">
        <v>39895000</v>
      </c>
      <c r="AR31" s="239">
        <v>0</v>
      </c>
      <c r="AS31" s="239">
        <v>6685000</v>
      </c>
      <c r="AT31" s="239">
        <v>0</v>
      </c>
      <c r="AU31" s="239">
        <v>0</v>
      </c>
      <c r="AV31" s="239">
        <v>0</v>
      </c>
      <c r="AW31" s="242">
        <v>46580000</v>
      </c>
      <c r="AX31" s="239">
        <v>370000</v>
      </c>
      <c r="AY31" s="239">
        <v>-523000</v>
      </c>
      <c r="AZ31" s="239">
        <v>-6000</v>
      </c>
      <c r="BA31" s="239">
        <v>0</v>
      </c>
      <c r="BB31" s="239">
        <v>5644000</v>
      </c>
      <c r="BC31" s="242">
        <v>5485000</v>
      </c>
      <c r="BD31" s="242">
        <v>52065000</v>
      </c>
      <c r="BE31" s="239">
        <v>25944000</v>
      </c>
      <c r="BF31" s="239">
        <v>0</v>
      </c>
      <c r="BG31" s="239">
        <v>3264000</v>
      </c>
      <c r="BH31" s="239">
        <v>45000</v>
      </c>
      <c r="BI31" s="239">
        <v>120000</v>
      </c>
      <c r="BJ31" s="239">
        <v>21771000</v>
      </c>
      <c r="BK31" s="239">
        <v>0</v>
      </c>
      <c r="BL31" s="242">
        <v>51144000</v>
      </c>
      <c r="BM31" s="242">
        <v>921000</v>
      </c>
      <c r="BN31" s="239">
        <v>2984000</v>
      </c>
      <c r="BO31" s="239">
        <v>0</v>
      </c>
      <c r="BP31" s="239">
        <v>3905000</v>
      </c>
      <c r="BQ31" s="239">
        <v>0</v>
      </c>
      <c r="BR31" s="239">
        <v>0</v>
      </c>
      <c r="BS31" s="242">
        <v>3905000</v>
      </c>
    </row>
    <row r="32" spans="1:71" s="164" customFormat="1" ht="30" customHeight="1" x14ac:dyDescent="0.3">
      <c r="A32" s="233">
        <v>103</v>
      </c>
      <c r="B32" s="233" t="s">
        <v>98</v>
      </c>
      <c r="C32" s="233" t="s">
        <v>77</v>
      </c>
      <c r="D32" s="233">
        <v>16665</v>
      </c>
      <c r="E32" s="233">
        <v>2026</v>
      </c>
      <c r="F32" s="233" t="s">
        <v>275</v>
      </c>
      <c r="G32" s="233">
        <v>2</v>
      </c>
      <c r="H32" s="233">
        <v>6</v>
      </c>
      <c r="I32" s="233" t="s">
        <v>703</v>
      </c>
      <c r="J32" s="234">
        <v>-96000</v>
      </c>
      <c r="K32" s="234">
        <v>91919000</v>
      </c>
      <c r="L32" s="234">
        <v>0</v>
      </c>
      <c r="M32" s="234">
        <v>18055000</v>
      </c>
      <c r="N32" s="234">
        <v>22336000</v>
      </c>
      <c r="O32" s="234">
        <v>0</v>
      </c>
      <c r="P32" s="234">
        <v>7062000</v>
      </c>
      <c r="Q32" s="242">
        <v>139276000</v>
      </c>
      <c r="R32" s="234">
        <v>42729000</v>
      </c>
      <c r="S32" s="234">
        <v>1270000</v>
      </c>
      <c r="T32" s="234">
        <v>0</v>
      </c>
      <c r="U32" s="234">
        <v>0</v>
      </c>
      <c r="V32" s="234">
        <v>286660000</v>
      </c>
      <c r="W32" s="234">
        <v>224165000</v>
      </c>
      <c r="X32" s="242">
        <v>62495000</v>
      </c>
      <c r="Y32" s="234">
        <v>31244000</v>
      </c>
      <c r="Z32" s="242">
        <v>137738000</v>
      </c>
      <c r="AA32" s="242">
        <v>277014000</v>
      </c>
      <c r="AB32" s="234">
        <v>2085000</v>
      </c>
      <c r="AC32" s="234">
        <v>2332000</v>
      </c>
      <c r="AD32" s="234">
        <v>0</v>
      </c>
      <c r="AE32" s="234">
        <v>19047000</v>
      </c>
      <c r="AF32" s="242">
        <v>23464000</v>
      </c>
      <c r="AG32" s="234">
        <v>54727000</v>
      </c>
      <c r="AH32" s="234">
        <v>0</v>
      </c>
      <c r="AI32" s="234">
        <v>22110000</v>
      </c>
      <c r="AJ32" s="242">
        <v>76837000</v>
      </c>
      <c r="AK32" s="242">
        <v>100301000</v>
      </c>
      <c r="AL32" s="234">
        <v>132714000</v>
      </c>
      <c r="AM32" s="234">
        <v>23586000</v>
      </c>
      <c r="AN32" s="234">
        <v>20413000</v>
      </c>
      <c r="AO32" s="242">
        <v>176713000</v>
      </c>
      <c r="AP32" s="242">
        <v>277014000</v>
      </c>
      <c r="AQ32" s="234">
        <v>91019000</v>
      </c>
      <c r="AR32" s="234">
        <v>0</v>
      </c>
      <c r="AS32" s="234">
        <v>10745000</v>
      </c>
      <c r="AT32" s="234">
        <v>0</v>
      </c>
      <c r="AU32" s="234">
        <v>0</v>
      </c>
      <c r="AV32" s="234">
        <v>0</v>
      </c>
      <c r="AW32" s="242">
        <v>101764000</v>
      </c>
      <c r="AX32" s="234">
        <v>1547000</v>
      </c>
      <c r="AY32" s="234">
        <v>0</v>
      </c>
      <c r="AZ32" s="234">
        <v>1824000</v>
      </c>
      <c r="BA32" s="234">
        <v>170000</v>
      </c>
      <c r="BB32" s="234">
        <v>0</v>
      </c>
      <c r="BC32" s="242">
        <v>3541000</v>
      </c>
      <c r="BD32" s="242">
        <v>105305000</v>
      </c>
      <c r="BE32" s="234">
        <v>41559000</v>
      </c>
      <c r="BF32" s="234">
        <v>0</v>
      </c>
      <c r="BG32" s="234">
        <v>4740000</v>
      </c>
      <c r="BH32" s="234">
        <v>1049000</v>
      </c>
      <c r="BI32" s="234">
        <v>1741000</v>
      </c>
      <c r="BJ32" s="234">
        <v>58905000</v>
      </c>
      <c r="BK32" s="234">
        <v>0</v>
      </c>
      <c r="BL32" s="242">
        <v>107994000</v>
      </c>
      <c r="BM32" s="242">
        <v>-2689000</v>
      </c>
      <c r="BN32" s="234">
        <v>0</v>
      </c>
      <c r="BO32" s="234">
        <v>0</v>
      </c>
      <c r="BP32" s="234">
        <v>-2689000</v>
      </c>
      <c r="BQ32" s="234">
        <v>0</v>
      </c>
      <c r="BR32" s="234">
        <v>0</v>
      </c>
      <c r="BS32" s="242">
        <v>-2689000</v>
      </c>
    </row>
    <row r="33" spans="1:71" s="202" customFormat="1" ht="30" customHeight="1" x14ac:dyDescent="0.3">
      <c r="A33" s="233">
        <v>104</v>
      </c>
      <c r="B33" s="233" t="s">
        <v>193</v>
      </c>
      <c r="C33" s="233" t="s">
        <v>77</v>
      </c>
      <c r="D33" s="233">
        <v>12775</v>
      </c>
      <c r="E33" s="233">
        <v>2026</v>
      </c>
      <c r="F33" s="233" t="s">
        <v>275</v>
      </c>
      <c r="G33" s="233">
        <v>2</v>
      </c>
      <c r="H33" s="233">
        <v>6</v>
      </c>
      <c r="I33" s="233" t="s">
        <v>703</v>
      </c>
      <c r="J33" s="234">
        <v>-16288000</v>
      </c>
      <c r="K33" s="234">
        <v>2002000</v>
      </c>
      <c r="L33" s="234">
        <v>3363000</v>
      </c>
      <c r="M33" s="234">
        <v>200575000</v>
      </c>
      <c r="N33" s="234">
        <v>260860000</v>
      </c>
      <c r="O33" s="234">
        <v>43259000</v>
      </c>
      <c r="P33" s="234">
        <v>76759000</v>
      </c>
      <c r="Q33" s="242">
        <v>570530000</v>
      </c>
      <c r="R33" s="234">
        <v>21127000</v>
      </c>
      <c r="S33" s="234">
        <v>0</v>
      </c>
      <c r="T33" s="234">
        <v>0</v>
      </c>
      <c r="U33" s="234">
        <v>0</v>
      </c>
      <c r="V33" s="234">
        <v>896687000</v>
      </c>
      <c r="W33" s="234">
        <v>584400000</v>
      </c>
      <c r="X33" s="242">
        <v>312287000</v>
      </c>
      <c r="Y33" s="234">
        <v>200076000</v>
      </c>
      <c r="Z33" s="242">
        <v>533490000</v>
      </c>
      <c r="AA33" s="242">
        <v>1104020000</v>
      </c>
      <c r="AB33" s="234">
        <v>19654000</v>
      </c>
      <c r="AC33" s="234">
        <v>8466000</v>
      </c>
      <c r="AD33" s="234">
        <v>92116000</v>
      </c>
      <c r="AE33" s="234">
        <v>129072000</v>
      </c>
      <c r="AF33" s="242">
        <v>249308000</v>
      </c>
      <c r="AG33" s="234">
        <v>825878000</v>
      </c>
      <c r="AH33" s="234">
        <v>0</v>
      </c>
      <c r="AI33" s="234">
        <v>99712000</v>
      </c>
      <c r="AJ33" s="242">
        <v>925590000</v>
      </c>
      <c r="AK33" s="242">
        <v>1174898000</v>
      </c>
      <c r="AL33" s="234">
        <v>-90074000</v>
      </c>
      <c r="AM33" s="234">
        <v>11033000</v>
      </c>
      <c r="AN33" s="234">
        <v>8163000</v>
      </c>
      <c r="AO33" s="242">
        <v>-70878000</v>
      </c>
      <c r="AP33" s="242">
        <v>1104020000</v>
      </c>
      <c r="AQ33" s="234">
        <v>612236000</v>
      </c>
      <c r="AR33" s="234">
        <v>0</v>
      </c>
      <c r="AS33" s="234">
        <v>210105000</v>
      </c>
      <c r="AT33" s="234">
        <v>0</v>
      </c>
      <c r="AU33" s="234">
        <v>0</v>
      </c>
      <c r="AV33" s="234">
        <v>1054000</v>
      </c>
      <c r="AW33" s="242">
        <v>823395000</v>
      </c>
      <c r="AX33" s="234">
        <v>1096000</v>
      </c>
      <c r="AY33" s="234">
        <v>-1732000</v>
      </c>
      <c r="AZ33" s="234">
        <v>-1215380</v>
      </c>
      <c r="BA33" s="234">
        <v>118380</v>
      </c>
      <c r="BB33" s="234">
        <v>0</v>
      </c>
      <c r="BC33" s="242">
        <v>-1733000</v>
      </c>
      <c r="BD33" s="242">
        <v>821662000</v>
      </c>
      <c r="BE33" s="234">
        <v>273823000</v>
      </c>
      <c r="BF33" s="234">
        <v>0</v>
      </c>
      <c r="BG33" s="234">
        <v>19711000</v>
      </c>
      <c r="BH33" s="234">
        <v>12656000</v>
      </c>
      <c r="BI33" s="234">
        <v>55684000</v>
      </c>
      <c r="BJ33" s="234">
        <v>422291000</v>
      </c>
      <c r="BK33" s="234">
        <v>0</v>
      </c>
      <c r="BL33" s="242">
        <v>784165000</v>
      </c>
      <c r="BM33" s="242">
        <v>37497000</v>
      </c>
      <c r="BN33" s="234">
        <v>29311000</v>
      </c>
      <c r="BO33" s="234">
        <v>0</v>
      </c>
      <c r="BP33" s="234">
        <v>66808000</v>
      </c>
      <c r="BQ33" s="234">
        <v>0</v>
      </c>
      <c r="BR33" s="234">
        <v>0</v>
      </c>
      <c r="BS33" s="242">
        <v>66808000</v>
      </c>
    </row>
    <row r="34" spans="1:71" s="164" customFormat="1" ht="30" customHeight="1" x14ac:dyDescent="0.3">
      <c r="A34" s="238">
        <v>105</v>
      </c>
      <c r="B34" s="238" t="s">
        <v>149</v>
      </c>
      <c r="C34" s="238" t="s">
        <v>77</v>
      </c>
      <c r="D34" s="238">
        <v>3791</v>
      </c>
      <c r="E34" s="238">
        <v>2026</v>
      </c>
      <c r="F34" s="238" t="s">
        <v>275</v>
      </c>
      <c r="G34" s="238">
        <v>2</v>
      </c>
      <c r="H34" s="238">
        <v>6</v>
      </c>
      <c r="I34" s="238" t="s">
        <v>703</v>
      </c>
      <c r="J34" s="239">
        <v>-56802000</v>
      </c>
      <c r="K34" s="239">
        <v>50736000</v>
      </c>
      <c r="L34" s="239">
        <v>27550000</v>
      </c>
      <c r="M34" s="239">
        <v>85853000</v>
      </c>
      <c r="N34" s="239">
        <v>15744000</v>
      </c>
      <c r="O34" s="239">
        <v>1314000</v>
      </c>
      <c r="P34" s="239">
        <v>13177000</v>
      </c>
      <c r="Q34" s="242">
        <v>137572000</v>
      </c>
      <c r="R34" s="239">
        <v>66274000</v>
      </c>
      <c r="S34" s="239">
        <v>3778000</v>
      </c>
      <c r="T34" s="239">
        <v>0</v>
      </c>
      <c r="U34" s="239">
        <v>0</v>
      </c>
      <c r="V34" s="239">
        <v>720748000</v>
      </c>
      <c r="W34" s="239">
        <v>453563000</v>
      </c>
      <c r="X34" s="242">
        <v>267185000</v>
      </c>
      <c r="Y34" s="239">
        <v>160762000</v>
      </c>
      <c r="Z34" s="242">
        <v>497999000</v>
      </c>
      <c r="AA34" s="242">
        <v>635571000</v>
      </c>
      <c r="AB34" s="239">
        <v>19025000</v>
      </c>
      <c r="AC34" s="239">
        <v>5734000</v>
      </c>
      <c r="AD34" s="239">
        <v>41775000</v>
      </c>
      <c r="AE34" s="239">
        <v>24297000</v>
      </c>
      <c r="AF34" s="242">
        <v>90831000</v>
      </c>
      <c r="AG34" s="239">
        <v>166239000</v>
      </c>
      <c r="AH34" s="239">
        <v>0</v>
      </c>
      <c r="AI34" s="239">
        <v>52948000</v>
      </c>
      <c r="AJ34" s="242">
        <v>219187000</v>
      </c>
      <c r="AK34" s="242">
        <v>310018000</v>
      </c>
      <c r="AL34" s="239">
        <v>194068000</v>
      </c>
      <c r="AM34" s="239">
        <v>131485000</v>
      </c>
      <c r="AN34" s="239">
        <v>0</v>
      </c>
      <c r="AO34" s="242">
        <v>325553000</v>
      </c>
      <c r="AP34" s="242">
        <v>635571000</v>
      </c>
      <c r="AQ34" s="239">
        <v>380631000</v>
      </c>
      <c r="AR34" s="239">
        <v>0</v>
      </c>
      <c r="AS34" s="239">
        <v>19728000</v>
      </c>
      <c r="AT34" s="239">
        <v>0</v>
      </c>
      <c r="AU34" s="239">
        <v>0</v>
      </c>
      <c r="AV34" s="239">
        <v>0</v>
      </c>
      <c r="AW34" s="242">
        <v>400359000</v>
      </c>
      <c r="AX34" s="239">
        <v>9005000</v>
      </c>
      <c r="AY34" s="239">
        <v>-1503000</v>
      </c>
      <c r="AZ34" s="239">
        <v>-5138000</v>
      </c>
      <c r="BA34" s="239">
        <v>0</v>
      </c>
      <c r="BB34" s="239">
        <v>-5170000</v>
      </c>
      <c r="BC34" s="242">
        <v>-2806000</v>
      </c>
      <c r="BD34" s="242">
        <v>397553000</v>
      </c>
      <c r="BE34" s="239">
        <v>211452000</v>
      </c>
      <c r="BF34" s="239">
        <v>0</v>
      </c>
      <c r="BG34" s="239">
        <v>19681000</v>
      </c>
      <c r="BH34" s="239">
        <v>2953000</v>
      </c>
      <c r="BI34" s="239">
        <v>2386000</v>
      </c>
      <c r="BJ34" s="239">
        <v>169346000</v>
      </c>
      <c r="BK34" s="239">
        <v>0</v>
      </c>
      <c r="BL34" s="242">
        <v>405818000</v>
      </c>
      <c r="BM34" s="242">
        <v>-8265000</v>
      </c>
      <c r="BN34" s="239">
        <v>-17010000</v>
      </c>
      <c r="BO34" s="239">
        <v>0</v>
      </c>
      <c r="BP34" s="239">
        <v>-25275000</v>
      </c>
      <c r="BQ34" s="239">
        <v>0</v>
      </c>
      <c r="BR34" s="239">
        <v>0</v>
      </c>
      <c r="BS34" s="242">
        <v>-25275000</v>
      </c>
    </row>
    <row r="35" spans="1:71" s="202" customFormat="1" ht="30" customHeight="1" x14ac:dyDescent="0.3">
      <c r="A35" s="238">
        <v>106</v>
      </c>
      <c r="B35" s="238" t="s">
        <v>80</v>
      </c>
      <c r="C35" s="238" t="s">
        <v>77</v>
      </c>
      <c r="D35" s="238">
        <v>4066</v>
      </c>
      <c r="E35" s="238">
        <v>2026</v>
      </c>
      <c r="F35" s="238" t="s">
        <v>275</v>
      </c>
      <c r="G35" s="238">
        <v>2</v>
      </c>
      <c r="H35" s="238">
        <v>6</v>
      </c>
      <c r="I35" s="238" t="s">
        <v>703</v>
      </c>
      <c r="J35" s="239">
        <v>5501000</v>
      </c>
      <c r="K35" s="239">
        <v>10000</v>
      </c>
      <c r="L35" s="239">
        <v>0</v>
      </c>
      <c r="M35" s="239">
        <v>10006000</v>
      </c>
      <c r="N35" s="239">
        <v>12000</v>
      </c>
      <c r="O35" s="239">
        <v>3321000</v>
      </c>
      <c r="P35" s="239">
        <v>1369000</v>
      </c>
      <c r="Q35" s="242">
        <v>20219000</v>
      </c>
      <c r="R35" s="239">
        <v>1754000</v>
      </c>
      <c r="S35" s="239">
        <v>0</v>
      </c>
      <c r="T35" s="239">
        <v>1327000</v>
      </c>
      <c r="U35" s="239">
        <v>0</v>
      </c>
      <c r="V35" s="239">
        <v>109075000</v>
      </c>
      <c r="W35" s="239">
        <v>84337000</v>
      </c>
      <c r="X35" s="242">
        <v>24738000</v>
      </c>
      <c r="Y35" s="239">
        <v>1296000</v>
      </c>
      <c r="Z35" s="242">
        <v>29115000</v>
      </c>
      <c r="AA35" s="242">
        <v>49334000</v>
      </c>
      <c r="AB35" s="239">
        <v>357000</v>
      </c>
      <c r="AC35" s="239">
        <v>4360000</v>
      </c>
      <c r="AD35" s="239">
        <v>2192000</v>
      </c>
      <c r="AE35" s="239">
        <v>7251000</v>
      </c>
      <c r="AF35" s="242">
        <v>14160000</v>
      </c>
      <c r="AG35" s="239">
        <v>0</v>
      </c>
      <c r="AH35" s="239">
        <v>0</v>
      </c>
      <c r="AI35" s="239">
        <v>2800000</v>
      </c>
      <c r="AJ35" s="242">
        <v>2800000</v>
      </c>
      <c r="AK35" s="242">
        <v>16960000</v>
      </c>
      <c r="AL35" s="239">
        <v>29622000</v>
      </c>
      <c r="AM35" s="239">
        <v>719000</v>
      </c>
      <c r="AN35" s="239">
        <v>2033000</v>
      </c>
      <c r="AO35" s="242">
        <v>32374000</v>
      </c>
      <c r="AP35" s="242">
        <v>49334000</v>
      </c>
      <c r="AQ35" s="239">
        <v>44888000</v>
      </c>
      <c r="AR35" s="239">
        <v>0</v>
      </c>
      <c r="AS35" s="239">
        <v>915000</v>
      </c>
      <c r="AT35" s="239">
        <v>0</v>
      </c>
      <c r="AU35" s="239">
        <v>0</v>
      </c>
      <c r="AV35" s="239">
        <v>38000</v>
      </c>
      <c r="AW35" s="242">
        <v>45841000</v>
      </c>
      <c r="AX35" s="239">
        <v>0</v>
      </c>
      <c r="AY35" s="239">
        <v>0</v>
      </c>
      <c r="AZ35" s="239">
        <v>-31000</v>
      </c>
      <c r="BA35" s="239">
        <v>29000</v>
      </c>
      <c r="BB35" s="239">
        <v>-3000</v>
      </c>
      <c r="BC35" s="242">
        <v>-5000</v>
      </c>
      <c r="BD35" s="242">
        <v>45836000</v>
      </c>
      <c r="BE35" s="239">
        <v>19292000</v>
      </c>
      <c r="BF35" s="239">
        <v>0</v>
      </c>
      <c r="BG35" s="239">
        <v>2108000</v>
      </c>
      <c r="BH35" s="239">
        <v>40000</v>
      </c>
      <c r="BI35" s="239">
        <v>2671000</v>
      </c>
      <c r="BJ35" s="239">
        <v>19782000</v>
      </c>
      <c r="BK35" s="239">
        <v>96000</v>
      </c>
      <c r="BL35" s="242">
        <v>43989000</v>
      </c>
      <c r="BM35" s="242">
        <v>1847000</v>
      </c>
      <c r="BN35" s="239">
        <v>0</v>
      </c>
      <c r="BO35" s="239">
        <v>0</v>
      </c>
      <c r="BP35" s="239">
        <v>1847000</v>
      </c>
      <c r="BQ35" s="239">
        <v>0</v>
      </c>
      <c r="BR35" s="239">
        <v>0</v>
      </c>
      <c r="BS35" s="242">
        <v>1847000</v>
      </c>
    </row>
    <row r="36" spans="1:71" s="164" customFormat="1" ht="30" customHeight="1" x14ac:dyDescent="0.3">
      <c r="A36" s="233">
        <v>114</v>
      </c>
      <c r="B36" s="233" t="s">
        <v>177</v>
      </c>
      <c r="C36" s="233" t="s">
        <v>77</v>
      </c>
      <c r="D36" s="233">
        <v>22350</v>
      </c>
      <c r="E36" s="233">
        <v>2026</v>
      </c>
      <c r="F36" s="233" t="s">
        <v>275</v>
      </c>
      <c r="G36" s="233">
        <v>2</v>
      </c>
      <c r="H36" s="233">
        <v>6</v>
      </c>
      <c r="I36" s="233" t="s">
        <v>703</v>
      </c>
      <c r="J36" s="234">
        <v>1740000</v>
      </c>
      <c r="K36" s="234">
        <v>0</v>
      </c>
      <c r="L36" s="234">
        <v>8073000</v>
      </c>
      <c r="M36" s="234">
        <v>39042000</v>
      </c>
      <c r="N36" s="234">
        <v>509026000</v>
      </c>
      <c r="O36" s="234">
        <v>0</v>
      </c>
      <c r="P36" s="234">
        <v>9628000</v>
      </c>
      <c r="Q36" s="242">
        <v>567509000</v>
      </c>
      <c r="R36" s="234">
        <v>-1494000</v>
      </c>
      <c r="S36" s="234">
        <v>0</v>
      </c>
      <c r="T36" s="234">
        <v>0</v>
      </c>
      <c r="U36" s="234">
        <v>0</v>
      </c>
      <c r="V36" s="234">
        <v>91279000</v>
      </c>
      <c r="W36" s="234">
        <v>11404000</v>
      </c>
      <c r="X36" s="242">
        <v>79875000</v>
      </c>
      <c r="Y36" s="234">
        <v>26115000</v>
      </c>
      <c r="Z36" s="242">
        <v>104496000</v>
      </c>
      <c r="AA36" s="242">
        <v>672005000</v>
      </c>
      <c r="AB36" s="234">
        <v>0</v>
      </c>
      <c r="AC36" s="234">
        <v>1814000</v>
      </c>
      <c r="AD36" s="234">
        <v>0</v>
      </c>
      <c r="AE36" s="234">
        <v>542691000</v>
      </c>
      <c r="AF36" s="242">
        <v>544505000</v>
      </c>
      <c r="AG36" s="234">
        <v>227989000</v>
      </c>
      <c r="AH36" s="234">
        <v>0</v>
      </c>
      <c r="AI36" s="234">
        <v>6839000</v>
      </c>
      <c r="AJ36" s="242">
        <v>234828000</v>
      </c>
      <c r="AK36" s="242">
        <v>779333000</v>
      </c>
      <c r="AL36" s="234">
        <v>-107328000</v>
      </c>
      <c r="AM36" s="234">
        <v>0</v>
      </c>
      <c r="AN36" s="234">
        <v>0</v>
      </c>
      <c r="AO36" s="242">
        <v>-107328000</v>
      </c>
      <c r="AP36" s="242">
        <v>672005000</v>
      </c>
      <c r="AQ36" s="234">
        <v>139841000</v>
      </c>
      <c r="AR36" s="234">
        <v>0</v>
      </c>
      <c r="AS36" s="234">
        <v>833000</v>
      </c>
      <c r="AT36" s="234">
        <v>0</v>
      </c>
      <c r="AU36" s="234">
        <v>0</v>
      </c>
      <c r="AV36" s="234">
        <v>0</v>
      </c>
      <c r="AW36" s="242">
        <v>140674000</v>
      </c>
      <c r="AX36" s="234">
        <v>0</v>
      </c>
      <c r="AY36" s="234">
        <v>0</v>
      </c>
      <c r="AZ36" s="234">
        <v>0</v>
      </c>
      <c r="BA36" s="234">
        <v>0</v>
      </c>
      <c r="BB36" s="234">
        <v>0</v>
      </c>
      <c r="BC36" s="242">
        <v>0</v>
      </c>
      <c r="BD36" s="242">
        <v>140674000</v>
      </c>
      <c r="BE36" s="234">
        <v>77540000</v>
      </c>
      <c r="BF36" s="234">
        <v>0</v>
      </c>
      <c r="BG36" s="234">
        <v>5249000</v>
      </c>
      <c r="BH36" s="234">
        <v>3068000</v>
      </c>
      <c r="BI36" s="234">
        <v>2952000</v>
      </c>
      <c r="BJ36" s="234">
        <v>70871000</v>
      </c>
      <c r="BK36" s="234">
        <v>0</v>
      </c>
      <c r="BL36" s="242">
        <v>159680000</v>
      </c>
      <c r="BM36" s="242">
        <v>-19006000</v>
      </c>
      <c r="BN36" s="234">
        <v>0</v>
      </c>
      <c r="BO36" s="234">
        <v>0</v>
      </c>
      <c r="BP36" s="234">
        <v>-19006000</v>
      </c>
      <c r="BQ36" s="234">
        <v>0</v>
      </c>
      <c r="BR36" s="234">
        <v>0</v>
      </c>
      <c r="BS36" s="242">
        <v>-19006000</v>
      </c>
    </row>
    <row r="37" spans="1:71" s="202" customFormat="1" ht="30" customHeight="1" x14ac:dyDescent="0.3">
      <c r="A37" s="238">
        <v>122</v>
      </c>
      <c r="B37" s="238" t="s">
        <v>168</v>
      </c>
      <c r="C37" s="238" t="s">
        <v>77</v>
      </c>
      <c r="D37" s="238">
        <v>12759</v>
      </c>
      <c r="E37" s="238">
        <v>2026</v>
      </c>
      <c r="F37" s="238" t="s">
        <v>275</v>
      </c>
      <c r="G37" s="238">
        <v>2</v>
      </c>
      <c r="H37" s="238">
        <v>6</v>
      </c>
      <c r="I37" s="238" t="s">
        <v>703</v>
      </c>
      <c r="J37" s="239">
        <v>24718909</v>
      </c>
      <c r="K37" s="239">
        <v>0</v>
      </c>
      <c r="L37" s="239">
        <v>3946701</v>
      </c>
      <c r="M37" s="239">
        <v>123768174</v>
      </c>
      <c r="N37" s="239">
        <v>0</v>
      </c>
      <c r="O37" s="239">
        <v>6653125</v>
      </c>
      <c r="P37" s="239">
        <v>30408790</v>
      </c>
      <c r="Q37" s="242">
        <v>189495699</v>
      </c>
      <c r="R37" s="239">
        <v>229434482</v>
      </c>
      <c r="S37" s="239">
        <v>1749542</v>
      </c>
      <c r="T37" s="239">
        <v>0</v>
      </c>
      <c r="U37" s="239">
        <v>0</v>
      </c>
      <c r="V37" s="239">
        <v>665126668</v>
      </c>
      <c r="W37" s="239">
        <v>442960048</v>
      </c>
      <c r="X37" s="242">
        <v>222166620</v>
      </c>
      <c r="Y37" s="239">
        <v>44920420</v>
      </c>
      <c r="Z37" s="242">
        <v>498271064</v>
      </c>
      <c r="AA37" s="242">
        <v>687766763</v>
      </c>
      <c r="AB37" s="239">
        <v>23072296</v>
      </c>
      <c r="AC37" s="239">
        <v>6296610</v>
      </c>
      <c r="AD37" s="239">
        <v>5675483</v>
      </c>
      <c r="AE37" s="239">
        <v>73948565</v>
      </c>
      <c r="AF37" s="242">
        <v>108992954</v>
      </c>
      <c r="AG37" s="239">
        <v>151397529</v>
      </c>
      <c r="AH37" s="239">
        <v>0</v>
      </c>
      <c r="AI37" s="239">
        <v>37894455</v>
      </c>
      <c r="AJ37" s="242">
        <v>189291984</v>
      </c>
      <c r="AK37" s="242">
        <v>298284938</v>
      </c>
      <c r="AL37" s="239">
        <v>373397623</v>
      </c>
      <c r="AM37" s="239">
        <v>0</v>
      </c>
      <c r="AN37" s="239">
        <v>16084202</v>
      </c>
      <c r="AO37" s="242">
        <v>389481825</v>
      </c>
      <c r="AP37" s="242">
        <v>687766763</v>
      </c>
      <c r="AQ37" s="239">
        <v>421813870</v>
      </c>
      <c r="AR37" s="239">
        <v>0</v>
      </c>
      <c r="AS37" s="239">
        <v>28706553</v>
      </c>
      <c r="AT37" s="239">
        <v>0</v>
      </c>
      <c r="AU37" s="239">
        <v>0</v>
      </c>
      <c r="AV37" s="239">
        <v>494046</v>
      </c>
      <c r="AW37" s="242">
        <v>451014469</v>
      </c>
      <c r="AX37" s="239">
        <v>1243756</v>
      </c>
      <c r="AY37" s="239">
        <v>2056950</v>
      </c>
      <c r="AZ37" s="239">
        <v>-3164629</v>
      </c>
      <c r="BA37" s="239">
        <v>3265817</v>
      </c>
      <c r="BB37" s="239">
        <v>-1590718</v>
      </c>
      <c r="BC37" s="242">
        <v>1811176</v>
      </c>
      <c r="BD37" s="242">
        <v>452825645</v>
      </c>
      <c r="BE37" s="239">
        <v>265795341</v>
      </c>
      <c r="BF37" s="239">
        <v>0</v>
      </c>
      <c r="BG37" s="239">
        <v>15385995</v>
      </c>
      <c r="BH37" s="239">
        <v>3326344</v>
      </c>
      <c r="BI37" s="239">
        <v>2194584</v>
      </c>
      <c r="BJ37" s="239">
        <v>149511883</v>
      </c>
      <c r="BK37" s="239">
        <v>0</v>
      </c>
      <c r="BL37" s="242">
        <v>436214147</v>
      </c>
      <c r="BM37" s="242">
        <v>16611498</v>
      </c>
      <c r="BN37" s="239">
        <v>0</v>
      </c>
      <c r="BO37" s="239">
        <v>543877</v>
      </c>
      <c r="BP37" s="239">
        <v>17155375</v>
      </c>
      <c r="BQ37" s="239">
        <v>0</v>
      </c>
      <c r="BR37" s="239">
        <v>0</v>
      </c>
      <c r="BS37" s="242">
        <v>17155375</v>
      </c>
    </row>
    <row r="38" spans="1:71" s="164" customFormat="1" ht="30" customHeight="1" x14ac:dyDescent="0.3">
      <c r="A38" s="233">
        <v>126</v>
      </c>
      <c r="B38" s="233" t="s">
        <v>693</v>
      </c>
      <c r="C38" s="233" t="s">
        <v>77</v>
      </c>
      <c r="D38" s="233">
        <v>14287</v>
      </c>
      <c r="E38" s="233">
        <v>2026</v>
      </c>
      <c r="F38" s="233" t="s">
        <v>275</v>
      </c>
      <c r="G38" s="233">
        <v>2</v>
      </c>
      <c r="H38" s="233">
        <v>6</v>
      </c>
      <c r="I38" s="233" t="s">
        <v>703</v>
      </c>
      <c r="J38" s="234">
        <v>6912356</v>
      </c>
      <c r="K38" s="234">
        <v>0</v>
      </c>
      <c r="L38" s="234">
        <v>0</v>
      </c>
      <c r="M38" s="234">
        <v>78790009</v>
      </c>
      <c r="N38" s="234">
        <v>0</v>
      </c>
      <c r="O38" s="234">
        <v>0</v>
      </c>
      <c r="P38" s="234">
        <v>15121297</v>
      </c>
      <c r="Q38" s="242">
        <v>100823662</v>
      </c>
      <c r="R38" s="234">
        <v>0</v>
      </c>
      <c r="S38" s="234">
        <v>0</v>
      </c>
      <c r="T38" s="234">
        <v>0</v>
      </c>
      <c r="U38" s="234">
        <v>0</v>
      </c>
      <c r="V38" s="234">
        <v>73827073</v>
      </c>
      <c r="W38" s="234">
        <v>2081515</v>
      </c>
      <c r="X38" s="242">
        <v>71745558</v>
      </c>
      <c r="Y38" s="234">
        <v>15768679</v>
      </c>
      <c r="Z38" s="242">
        <v>87514237</v>
      </c>
      <c r="AA38" s="242">
        <v>188337899</v>
      </c>
      <c r="AB38" s="234">
        <v>636940</v>
      </c>
      <c r="AC38" s="234">
        <v>0</v>
      </c>
      <c r="AD38" s="234">
        <v>211507685</v>
      </c>
      <c r="AE38" s="234">
        <v>107075523</v>
      </c>
      <c r="AF38" s="242">
        <v>319220148</v>
      </c>
      <c r="AG38" s="234">
        <v>6287299</v>
      </c>
      <c r="AH38" s="234">
        <v>0</v>
      </c>
      <c r="AI38" s="234">
        <v>-2263323</v>
      </c>
      <c r="AJ38" s="242">
        <v>4023976</v>
      </c>
      <c r="AK38" s="242">
        <v>323244124</v>
      </c>
      <c r="AL38" s="234">
        <v>-134906225</v>
      </c>
      <c r="AM38" s="234">
        <v>0</v>
      </c>
      <c r="AN38" s="234">
        <v>0</v>
      </c>
      <c r="AO38" s="242">
        <v>-134906225</v>
      </c>
      <c r="AP38" s="242">
        <v>188337899</v>
      </c>
      <c r="AQ38" s="234">
        <v>157913478</v>
      </c>
      <c r="AR38" s="234">
        <v>0</v>
      </c>
      <c r="AS38" s="234">
        <v>10713324</v>
      </c>
      <c r="AT38" s="234">
        <v>0</v>
      </c>
      <c r="AU38" s="234">
        <v>0</v>
      </c>
      <c r="AV38" s="234">
        <v>0</v>
      </c>
      <c r="AW38" s="242">
        <v>168626802</v>
      </c>
      <c r="AX38" s="234">
        <v>55236</v>
      </c>
      <c r="AY38" s="234">
        <v>36854</v>
      </c>
      <c r="AZ38" s="234">
        <v>0</v>
      </c>
      <c r="BA38" s="234">
        <v>0</v>
      </c>
      <c r="BB38" s="234">
        <v>0</v>
      </c>
      <c r="BC38" s="242">
        <v>92090</v>
      </c>
      <c r="BD38" s="242">
        <v>168718892</v>
      </c>
      <c r="BE38" s="234">
        <v>104848434</v>
      </c>
      <c r="BF38" s="234">
        <v>0</v>
      </c>
      <c r="BG38" s="234">
        <v>2371327</v>
      </c>
      <c r="BH38" s="234">
        <v>643712</v>
      </c>
      <c r="BI38" s="234">
        <v>5359183</v>
      </c>
      <c r="BJ38" s="234">
        <v>98907433</v>
      </c>
      <c r="BK38" s="234">
        <v>0</v>
      </c>
      <c r="BL38" s="242">
        <v>212130089</v>
      </c>
      <c r="BM38" s="242">
        <v>-43411197</v>
      </c>
      <c r="BN38" s="234">
        <v>0</v>
      </c>
      <c r="BO38" s="234">
        <v>0</v>
      </c>
      <c r="BP38" s="234">
        <v>-43411197</v>
      </c>
      <c r="BQ38" s="234">
        <v>0</v>
      </c>
      <c r="BR38" s="234">
        <v>0</v>
      </c>
      <c r="BS38" s="242">
        <v>-43411197</v>
      </c>
    </row>
    <row r="39" spans="1:71" s="202" customFormat="1" ht="30" customHeight="1" x14ac:dyDescent="0.3">
      <c r="A39" s="238">
        <v>127</v>
      </c>
      <c r="B39" s="238" t="s">
        <v>542</v>
      </c>
      <c r="C39" s="238" t="s">
        <v>77</v>
      </c>
      <c r="D39" s="238">
        <v>3888</v>
      </c>
      <c r="E39" s="238">
        <v>2026</v>
      </c>
      <c r="F39" s="238" t="s">
        <v>630</v>
      </c>
      <c r="G39" s="238">
        <v>1</v>
      </c>
      <c r="H39" s="238">
        <v>3</v>
      </c>
      <c r="I39" s="238" t="s">
        <v>704</v>
      </c>
      <c r="J39" s="239">
        <v>0</v>
      </c>
      <c r="K39" s="239">
        <v>0</v>
      </c>
      <c r="L39" s="239">
        <v>0</v>
      </c>
      <c r="M39" s="239">
        <v>59308105</v>
      </c>
      <c r="N39" s="239">
        <v>0</v>
      </c>
      <c r="O39" s="239">
        <v>-3064140</v>
      </c>
      <c r="P39" s="239">
        <v>28745267</v>
      </c>
      <c r="Q39" s="242">
        <v>84989232</v>
      </c>
      <c r="R39" s="239">
        <v>0</v>
      </c>
      <c r="S39" s="239">
        <v>0</v>
      </c>
      <c r="T39" s="239">
        <v>0</v>
      </c>
      <c r="U39" s="239">
        <v>0</v>
      </c>
      <c r="V39" s="239">
        <v>430487028</v>
      </c>
      <c r="W39" s="239">
        <v>173225447</v>
      </c>
      <c r="X39" s="242">
        <v>257261581</v>
      </c>
      <c r="Y39" s="239">
        <v>15160082</v>
      </c>
      <c r="Z39" s="242">
        <v>272421663</v>
      </c>
      <c r="AA39" s="242">
        <v>357410895</v>
      </c>
      <c r="AB39" s="239">
        <v>0</v>
      </c>
      <c r="AC39" s="239">
        <v>0</v>
      </c>
      <c r="AD39" s="239">
        <v>0</v>
      </c>
      <c r="AE39" s="239">
        <v>34295401</v>
      </c>
      <c r="AF39" s="242">
        <v>34295401</v>
      </c>
      <c r="AG39" s="239">
        <v>0</v>
      </c>
      <c r="AH39" s="239">
        <v>81414565</v>
      </c>
      <c r="AI39" s="239">
        <v>3546886</v>
      </c>
      <c r="AJ39" s="242">
        <v>84961451</v>
      </c>
      <c r="AK39" s="242">
        <v>119256852</v>
      </c>
      <c r="AL39" s="239">
        <v>238154043</v>
      </c>
      <c r="AM39" s="239">
        <v>0</v>
      </c>
      <c r="AN39" s="239">
        <v>0</v>
      </c>
      <c r="AO39" s="242">
        <v>238154043</v>
      </c>
      <c r="AP39" s="242">
        <v>357410895</v>
      </c>
      <c r="AQ39" s="239">
        <v>105166232</v>
      </c>
      <c r="AR39" s="239">
        <v>0</v>
      </c>
      <c r="AS39" s="239">
        <v>1774480</v>
      </c>
      <c r="AT39" s="239">
        <v>0</v>
      </c>
      <c r="AU39" s="239">
        <v>0</v>
      </c>
      <c r="AV39" s="239">
        <v>0</v>
      </c>
      <c r="AW39" s="242">
        <v>106940712</v>
      </c>
      <c r="AX39" s="239">
        <v>-8959</v>
      </c>
      <c r="AY39" s="239">
        <v>2850</v>
      </c>
      <c r="AZ39" s="239">
        <v>0</v>
      </c>
      <c r="BA39" s="239">
        <v>0</v>
      </c>
      <c r="BB39" s="239">
        <v>0</v>
      </c>
      <c r="BC39" s="242">
        <v>-6109</v>
      </c>
      <c r="BD39" s="242">
        <v>106934603</v>
      </c>
      <c r="BE39" s="239">
        <v>42347331</v>
      </c>
      <c r="BF39" s="239">
        <v>0</v>
      </c>
      <c r="BG39" s="239">
        <v>4122018</v>
      </c>
      <c r="BH39" s="239">
        <v>59241</v>
      </c>
      <c r="BI39" s="239">
        <v>635067</v>
      </c>
      <c r="BJ39" s="239">
        <v>58549027</v>
      </c>
      <c r="BK39" s="239">
        <v>0</v>
      </c>
      <c r="BL39" s="242">
        <v>105712684</v>
      </c>
      <c r="BM39" s="242">
        <v>1221919</v>
      </c>
      <c r="BN39" s="239">
        <v>0</v>
      </c>
      <c r="BO39" s="239">
        <v>0</v>
      </c>
      <c r="BP39" s="239">
        <v>1221919</v>
      </c>
      <c r="BQ39" s="239">
        <v>0</v>
      </c>
      <c r="BR39" s="239">
        <v>0</v>
      </c>
      <c r="BS39" s="242">
        <v>1221919</v>
      </c>
    </row>
    <row r="40" spans="1:71" s="164" customFormat="1" ht="30" customHeight="1" x14ac:dyDescent="0.3">
      <c r="A40" s="233">
        <v>129</v>
      </c>
      <c r="B40" s="233" t="s">
        <v>181</v>
      </c>
      <c r="C40" s="233" t="s">
        <v>77</v>
      </c>
      <c r="D40" s="233">
        <v>12773</v>
      </c>
      <c r="E40" s="233">
        <v>2026</v>
      </c>
      <c r="F40" s="233" t="s">
        <v>275</v>
      </c>
      <c r="G40" s="233">
        <v>2</v>
      </c>
      <c r="H40" s="233">
        <v>6</v>
      </c>
      <c r="I40" s="233" t="s">
        <v>703</v>
      </c>
      <c r="J40" s="234">
        <v>10124722</v>
      </c>
      <c r="K40" s="234">
        <v>0</v>
      </c>
      <c r="L40" s="234">
        <v>0</v>
      </c>
      <c r="M40" s="234">
        <v>29308497</v>
      </c>
      <c r="N40" s="234">
        <v>15254565</v>
      </c>
      <c r="O40" s="234">
        <v>0</v>
      </c>
      <c r="P40" s="234">
        <v>10711939</v>
      </c>
      <c r="Q40" s="242">
        <v>65399723</v>
      </c>
      <c r="R40" s="234">
        <v>0</v>
      </c>
      <c r="S40" s="234">
        <v>0</v>
      </c>
      <c r="T40" s="234">
        <v>0</v>
      </c>
      <c r="U40" s="234">
        <v>0</v>
      </c>
      <c r="V40" s="234">
        <v>330481519</v>
      </c>
      <c r="W40" s="234">
        <v>170632808</v>
      </c>
      <c r="X40" s="242">
        <v>159848711</v>
      </c>
      <c r="Y40" s="234">
        <v>504199215</v>
      </c>
      <c r="Z40" s="242">
        <v>664047926</v>
      </c>
      <c r="AA40" s="242">
        <v>729447649</v>
      </c>
      <c r="AB40" s="234">
        <v>0</v>
      </c>
      <c r="AC40" s="234">
        <v>4938012</v>
      </c>
      <c r="AD40" s="234">
        <v>442251</v>
      </c>
      <c r="AE40" s="234">
        <v>32087317</v>
      </c>
      <c r="AF40" s="242">
        <v>37467580</v>
      </c>
      <c r="AG40" s="234">
        <v>0</v>
      </c>
      <c r="AH40" s="234">
        <v>48939096</v>
      </c>
      <c r="AI40" s="234">
        <v>15899558</v>
      </c>
      <c r="AJ40" s="242">
        <v>64838654</v>
      </c>
      <c r="AK40" s="242">
        <v>102306234</v>
      </c>
      <c r="AL40" s="234">
        <v>627118824</v>
      </c>
      <c r="AM40" s="234">
        <v>22591</v>
      </c>
      <c r="AN40" s="234">
        <v>0</v>
      </c>
      <c r="AO40" s="242">
        <v>627141415</v>
      </c>
      <c r="AP40" s="242">
        <v>729447649</v>
      </c>
      <c r="AQ40" s="234">
        <v>132253891</v>
      </c>
      <c r="AR40" s="234">
        <v>114919</v>
      </c>
      <c r="AS40" s="234">
        <v>7441122</v>
      </c>
      <c r="AT40" s="234">
        <v>0</v>
      </c>
      <c r="AU40" s="234">
        <v>0</v>
      </c>
      <c r="AV40" s="234">
        <v>0</v>
      </c>
      <c r="AW40" s="242">
        <v>139809932</v>
      </c>
      <c r="AX40" s="234">
        <v>15143000</v>
      </c>
      <c r="AY40" s="234">
        <v>0</v>
      </c>
      <c r="AZ40" s="234"/>
      <c r="BA40" s="234">
        <v>149939</v>
      </c>
      <c r="BB40" s="234">
        <v>104825</v>
      </c>
      <c r="BC40" s="242">
        <v>15397764</v>
      </c>
      <c r="BD40" s="242">
        <v>155207696</v>
      </c>
      <c r="BE40" s="234">
        <v>75574254</v>
      </c>
      <c r="BF40" s="234">
        <v>0</v>
      </c>
      <c r="BG40" s="234">
        <v>6986337</v>
      </c>
      <c r="BH40" s="234">
        <v>980053</v>
      </c>
      <c r="BI40" s="234">
        <v>1633716</v>
      </c>
      <c r="BJ40" s="234">
        <v>53037843</v>
      </c>
      <c r="BK40" s="234">
        <v>0</v>
      </c>
      <c r="BL40" s="242">
        <v>138212203</v>
      </c>
      <c r="BM40" s="242">
        <v>16995493</v>
      </c>
      <c r="BN40" s="234">
        <v>0</v>
      </c>
      <c r="BO40" s="234">
        <v>947435</v>
      </c>
      <c r="BP40" s="234">
        <v>17942928</v>
      </c>
      <c r="BQ40" s="234">
        <v>0</v>
      </c>
      <c r="BR40" s="234">
        <v>0</v>
      </c>
      <c r="BS40" s="242">
        <v>17942928</v>
      </c>
    </row>
    <row r="41" spans="1:71" s="202" customFormat="1" ht="30" customHeight="1" x14ac:dyDescent="0.3">
      <c r="A41" s="238">
        <v>133</v>
      </c>
      <c r="B41" s="238" t="s">
        <v>200</v>
      </c>
      <c r="C41" s="238" t="s">
        <v>77</v>
      </c>
      <c r="D41" s="238">
        <v>6755</v>
      </c>
      <c r="E41" s="238">
        <v>2026</v>
      </c>
      <c r="F41" s="238" t="s">
        <v>275</v>
      </c>
      <c r="G41" s="238">
        <v>2</v>
      </c>
      <c r="H41" s="238">
        <v>6</v>
      </c>
      <c r="I41" s="57" t="s">
        <v>723</v>
      </c>
      <c r="J41" s="239">
        <v>0</v>
      </c>
      <c r="K41" s="239">
        <v>0</v>
      </c>
      <c r="L41" s="239">
        <v>0</v>
      </c>
      <c r="M41" s="239">
        <v>0</v>
      </c>
      <c r="N41" s="239">
        <v>0</v>
      </c>
      <c r="O41" s="239">
        <v>0</v>
      </c>
      <c r="P41" s="239">
        <v>0</v>
      </c>
      <c r="Q41" s="242">
        <v>0</v>
      </c>
      <c r="R41" s="239">
        <v>0</v>
      </c>
      <c r="S41" s="239">
        <v>0</v>
      </c>
      <c r="T41" s="239">
        <v>0</v>
      </c>
      <c r="U41" s="239">
        <v>0</v>
      </c>
      <c r="V41" s="239">
        <v>0</v>
      </c>
      <c r="W41" s="239">
        <v>0</v>
      </c>
      <c r="X41" s="242">
        <v>0</v>
      </c>
      <c r="Y41" s="239">
        <v>0</v>
      </c>
      <c r="Z41" s="242">
        <v>0</v>
      </c>
      <c r="AA41" s="242">
        <v>0</v>
      </c>
      <c r="AB41" s="239">
        <v>0</v>
      </c>
      <c r="AC41" s="239">
        <v>0</v>
      </c>
      <c r="AD41" s="239">
        <v>0</v>
      </c>
      <c r="AE41" s="239">
        <v>0</v>
      </c>
      <c r="AF41" s="242">
        <v>0</v>
      </c>
      <c r="AG41" s="239">
        <v>0</v>
      </c>
      <c r="AH41" s="239">
        <v>0</v>
      </c>
      <c r="AI41" s="239">
        <v>0</v>
      </c>
      <c r="AJ41" s="242">
        <v>0</v>
      </c>
      <c r="AK41" s="242">
        <v>0</v>
      </c>
      <c r="AL41" s="239">
        <v>0</v>
      </c>
      <c r="AM41" s="239">
        <v>0</v>
      </c>
      <c r="AN41" s="239">
        <v>0</v>
      </c>
      <c r="AO41" s="242">
        <v>0</v>
      </c>
      <c r="AP41" s="242">
        <v>0</v>
      </c>
      <c r="AQ41" s="239">
        <v>31536000</v>
      </c>
      <c r="AR41" s="239">
        <v>0</v>
      </c>
      <c r="AS41" s="239">
        <v>1267000</v>
      </c>
      <c r="AT41" s="239">
        <v>0</v>
      </c>
      <c r="AU41" s="239">
        <v>0</v>
      </c>
      <c r="AV41" s="239">
        <v>70000</v>
      </c>
      <c r="AW41" s="242">
        <v>32873000</v>
      </c>
      <c r="AX41" s="239">
        <v>111000</v>
      </c>
      <c r="AY41" s="239">
        <v>2000</v>
      </c>
      <c r="AZ41" s="239"/>
      <c r="BA41" s="239">
        <v>492000</v>
      </c>
      <c r="BB41" s="239">
        <v>0</v>
      </c>
      <c r="BC41" s="242">
        <v>605000</v>
      </c>
      <c r="BD41" s="242">
        <v>33478000</v>
      </c>
      <c r="BE41" s="239">
        <v>12630000</v>
      </c>
      <c r="BF41" s="239">
        <v>0</v>
      </c>
      <c r="BG41" s="239">
        <v>1009000</v>
      </c>
      <c r="BH41" s="239">
        <v>238000</v>
      </c>
      <c r="BI41" s="239">
        <v>576000</v>
      </c>
      <c r="BJ41" s="239">
        <v>17181000</v>
      </c>
      <c r="BK41" s="239">
        <v>0</v>
      </c>
      <c r="BL41" s="242">
        <v>31634000</v>
      </c>
      <c r="BM41" s="242">
        <v>1844000</v>
      </c>
      <c r="BN41" s="239">
        <v>-1843000</v>
      </c>
      <c r="BO41" s="239">
        <v>0</v>
      </c>
      <c r="BP41" s="239">
        <v>1000</v>
      </c>
      <c r="BQ41" s="239">
        <v>0</v>
      </c>
      <c r="BR41" s="239">
        <v>0</v>
      </c>
      <c r="BS41" s="242">
        <v>1000</v>
      </c>
    </row>
    <row r="42" spans="1:71" s="164" customFormat="1" ht="30" customHeight="1" x14ac:dyDescent="0.3">
      <c r="A42" s="233">
        <v>138</v>
      </c>
      <c r="B42" s="233" t="s">
        <v>101</v>
      </c>
      <c r="C42" s="233" t="s">
        <v>77</v>
      </c>
      <c r="D42" s="233">
        <v>16665</v>
      </c>
      <c r="E42" s="233">
        <v>2026</v>
      </c>
      <c r="F42" s="233" t="s">
        <v>275</v>
      </c>
      <c r="G42" s="233">
        <v>2</v>
      </c>
      <c r="H42" s="233">
        <v>6</v>
      </c>
      <c r="I42" s="233" t="s">
        <v>703</v>
      </c>
      <c r="J42" s="234">
        <v>849000</v>
      </c>
      <c r="K42" s="234">
        <v>255962000</v>
      </c>
      <c r="L42" s="234">
        <v>0</v>
      </c>
      <c r="M42" s="234">
        <v>39882000</v>
      </c>
      <c r="N42" s="234">
        <v>185088000</v>
      </c>
      <c r="O42" s="234">
        <v>0</v>
      </c>
      <c r="P42" s="234">
        <v>14382000</v>
      </c>
      <c r="Q42" s="242">
        <v>496163000</v>
      </c>
      <c r="R42" s="234">
        <v>33390000</v>
      </c>
      <c r="S42" s="234">
        <v>0</v>
      </c>
      <c r="T42" s="234">
        <v>0</v>
      </c>
      <c r="U42" s="234">
        <v>0</v>
      </c>
      <c r="V42" s="234">
        <v>296374000</v>
      </c>
      <c r="W42" s="234">
        <v>191591000</v>
      </c>
      <c r="X42" s="242">
        <v>104783000</v>
      </c>
      <c r="Y42" s="234">
        <v>56234000</v>
      </c>
      <c r="Z42" s="242">
        <v>194407000</v>
      </c>
      <c r="AA42" s="242">
        <v>690570000</v>
      </c>
      <c r="AB42" s="234">
        <v>3590000</v>
      </c>
      <c r="AC42" s="234">
        <v>7868000</v>
      </c>
      <c r="AD42" s="234">
        <v>0</v>
      </c>
      <c r="AE42" s="234">
        <v>41315000</v>
      </c>
      <c r="AF42" s="242">
        <v>52773000</v>
      </c>
      <c r="AG42" s="234">
        <v>83181000</v>
      </c>
      <c r="AH42" s="234">
        <v>0</v>
      </c>
      <c r="AI42" s="234">
        <v>29721000</v>
      </c>
      <c r="AJ42" s="242">
        <v>112902000</v>
      </c>
      <c r="AK42" s="242">
        <v>165675000</v>
      </c>
      <c r="AL42" s="234">
        <v>492215000</v>
      </c>
      <c r="AM42" s="234">
        <v>22029000</v>
      </c>
      <c r="AN42" s="234">
        <v>10651000</v>
      </c>
      <c r="AO42" s="242">
        <v>524895000</v>
      </c>
      <c r="AP42" s="242">
        <v>690570000</v>
      </c>
      <c r="AQ42" s="234">
        <v>191064000</v>
      </c>
      <c r="AR42" s="234">
        <v>0</v>
      </c>
      <c r="AS42" s="234">
        <v>14664000</v>
      </c>
      <c r="AT42" s="234">
        <v>0</v>
      </c>
      <c r="AU42" s="234">
        <v>0</v>
      </c>
      <c r="AV42" s="234">
        <v>0</v>
      </c>
      <c r="AW42" s="242">
        <v>205728000</v>
      </c>
      <c r="AX42" s="234">
        <v>600000</v>
      </c>
      <c r="AY42" s="234">
        <v>0</v>
      </c>
      <c r="AZ42" s="234">
        <v>4862000</v>
      </c>
      <c r="BA42" s="234">
        <v>78000</v>
      </c>
      <c r="BB42" s="234">
        <v>0</v>
      </c>
      <c r="BC42" s="242">
        <v>5540000</v>
      </c>
      <c r="BD42" s="242">
        <v>211268000</v>
      </c>
      <c r="BE42" s="234">
        <v>88495000</v>
      </c>
      <c r="BF42" s="234">
        <v>0</v>
      </c>
      <c r="BG42" s="234">
        <v>7741000</v>
      </c>
      <c r="BH42" s="234">
        <v>1576000</v>
      </c>
      <c r="BI42" s="234">
        <v>4717000</v>
      </c>
      <c r="BJ42" s="234">
        <v>76840000</v>
      </c>
      <c r="BK42" s="234">
        <v>0</v>
      </c>
      <c r="BL42" s="242">
        <v>179369000</v>
      </c>
      <c r="BM42" s="242">
        <v>31899000</v>
      </c>
      <c r="BN42" s="234">
        <v>0</v>
      </c>
      <c r="BO42" s="234">
        <v>1669000</v>
      </c>
      <c r="BP42" s="234">
        <v>33568000</v>
      </c>
      <c r="BQ42" s="234">
        <v>0</v>
      </c>
      <c r="BR42" s="234">
        <v>0</v>
      </c>
      <c r="BS42" s="242">
        <v>33568000</v>
      </c>
    </row>
    <row r="43" spans="1:71" s="202" customFormat="1" ht="30" customHeight="1" x14ac:dyDescent="0.3">
      <c r="A43" s="233">
        <v>345</v>
      </c>
      <c r="B43" s="233" t="s">
        <v>150</v>
      </c>
      <c r="C43" s="233" t="s">
        <v>77</v>
      </c>
      <c r="D43" s="233">
        <v>3791</v>
      </c>
      <c r="E43" s="233">
        <v>2026</v>
      </c>
      <c r="F43" s="233" t="s">
        <v>275</v>
      </c>
      <c r="G43" s="233">
        <v>2</v>
      </c>
      <c r="H43" s="233">
        <v>6</v>
      </c>
      <c r="I43" s="233" t="s">
        <v>703</v>
      </c>
      <c r="J43" s="234">
        <v>-16048000</v>
      </c>
      <c r="K43" s="234">
        <v>-10507000</v>
      </c>
      <c r="L43" s="234">
        <v>17754000</v>
      </c>
      <c r="M43" s="234">
        <v>70724000</v>
      </c>
      <c r="N43" s="234">
        <v>16697000</v>
      </c>
      <c r="O43" s="234">
        <v>4340000</v>
      </c>
      <c r="P43" s="234">
        <v>17577000</v>
      </c>
      <c r="Q43" s="242">
        <v>100537000</v>
      </c>
      <c r="R43" s="234">
        <v>64340000</v>
      </c>
      <c r="S43" s="234">
        <v>575000</v>
      </c>
      <c r="T43" s="234">
        <v>0</v>
      </c>
      <c r="U43" s="234">
        <v>0</v>
      </c>
      <c r="V43" s="234">
        <v>736327000</v>
      </c>
      <c r="W43" s="234">
        <v>400458000</v>
      </c>
      <c r="X43" s="242">
        <v>335869000</v>
      </c>
      <c r="Y43" s="234">
        <v>115007000</v>
      </c>
      <c r="Z43" s="242">
        <v>515791000</v>
      </c>
      <c r="AA43" s="242">
        <v>616328000</v>
      </c>
      <c r="AB43" s="234">
        <v>18019000</v>
      </c>
      <c r="AC43" s="234">
        <v>3631000</v>
      </c>
      <c r="AD43" s="234">
        <v>51599000</v>
      </c>
      <c r="AE43" s="234">
        <v>32404000</v>
      </c>
      <c r="AF43" s="242">
        <v>105653000</v>
      </c>
      <c r="AG43" s="234">
        <v>173344000</v>
      </c>
      <c r="AH43" s="234">
        <v>0</v>
      </c>
      <c r="AI43" s="234">
        <v>28029000</v>
      </c>
      <c r="AJ43" s="242">
        <v>201373000</v>
      </c>
      <c r="AK43" s="242">
        <v>307026000</v>
      </c>
      <c r="AL43" s="234">
        <v>247175000</v>
      </c>
      <c r="AM43" s="234">
        <v>62127000</v>
      </c>
      <c r="AN43" s="234">
        <v>0</v>
      </c>
      <c r="AO43" s="242">
        <v>309302000</v>
      </c>
      <c r="AP43" s="242">
        <v>616328000</v>
      </c>
      <c r="AQ43" s="234">
        <v>345890000</v>
      </c>
      <c r="AR43" s="234">
        <v>0</v>
      </c>
      <c r="AS43" s="234">
        <v>73656000</v>
      </c>
      <c r="AT43" s="234">
        <v>0</v>
      </c>
      <c r="AU43" s="234">
        <v>0</v>
      </c>
      <c r="AV43" s="234">
        <v>0</v>
      </c>
      <c r="AW43" s="242">
        <v>419546000</v>
      </c>
      <c r="AX43" s="234">
        <v>2049000</v>
      </c>
      <c r="AY43" s="234">
        <v>-545000</v>
      </c>
      <c r="AZ43" s="234">
        <v>-1831000</v>
      </c>
      <c r="BA43" s="234">
        <v>0</v>
      </c>
      <c r="BB43" s="234">
        <v>-5580000</v>
      </c>
      <c r="BC43" s="242">
        <v>-5907000</v>
      </c>
      <c r="BD43" s="242">
        <v>413639000</v>
      </c>
      <c r="BE43" s="234">
        <v>192501000</v>
      </c>
      <c r="BF43" s="234">
        <v>0</v>
      </c>
      <c r="BG43" s="234">
        <v>20096000</v>
      </c>
      <c r="BH43" s="234">
        <v>4000000</v>
      </c>
      <c r="BI43" s="234">
        <v>1386000</v>
      </c>
      <c r="BJ43" s="234">
        <v>201288000</v>
      </c>
      <c r="BK43" s="234">
        <v>0</v>
      </c>
      <c r="BL43" s="242">
        <v>419271000</v>
      </c>
      <c r="BM43" s="242">
        <v>-5632000</v>
      </c>
      <c r="BN43" s="234">
        <v>-9817000</v>
      </c>
      <c r="BO43" s="234">
        <v>-67000</v>
      </c>
      <c r="BP43" s="234">
        <v>-15516000</v>
      </c>
      <c r="BQ43" s="234">
        <v>0</v>
      </c>
      <c r="BR43" s="234">
        <v>0</v>
      </c>
      <c r="BS43" s="242">
        <v>-15516000</v>
      </c>
    </row>
    <row r="44" spans="1:71" s="164" customFormat="1" ht="30" customHeight="1" x14ac:dyDescent="0.3">
      <c r="A44" s="233">
        <v>3106</v>
      </c>
      <c r="B44" s="233" t="s">
        <v>84</v>
      </c>
      <c r="C44" s="233" t="s">
        <v>75</v>
      </c>
      <c r="D44" s="233">
        <v>3106</v>
      </c>
      <c r="E44" s="233">
        <v>2026</v>
      </c>
      <c r="F44" s="233" t="s">
        <v>275</v>
      </c>
      <c r="G44" s="233">
        <v>2</v>
      </c>
      <c r="H44" s="233">
        <v>6</v>
      </c>
      <c r="I44" s="233" t="s">
        <v>703</v>
      </c>
      <c r="J44" s="234">
        <v>229557805</v>
      </c>
      <c r="K44" s="234">
        <v>0</v>
      </c>
      <c r="L44" s="234">
        <v>0</v>
      </c>
      <c r="M44" s="234">
        <v>72480343</v>
      </c>
      <c r="N44" s="234">
        <v>0</v>
      </c>
      <c r="O44" s="234">
        <v>0</v>
      </c>
      <c r="P44" s="234">
        <v>40175295</v>
      </c>
      <c r="Q44" s="242">
        <v>342213443</v>
      </c>
      <c r="R44" s="234">
        <v>517085439</v>
      </c>
      <c r="S44" s="234">
        <v>0</v>
      </c>
      <c r="T44" s="234">
        <v>0</v>
      </c>
      <c r="U44" s="234">
        <v>0</v>
      </c>
      <c r="V44" s="234">
        <v>617472878</v>
      </c>
      <c r="W44" s="234">
        <v>384828144</v>
      </c>
      <c r="X44" s="242">
        <v>232644734</v>
      </c>
      <c r="Y44" s="234">
        <v>22223819</v>
      </c>
      <c r="Z44" s="242">
        <v>771953992</v>
      </c>
      <c r="AA44" s="242">
        <v>1114167435</v>
      </c>
      <c r="AB44" s="234">
        <v>4910000</v>
      </c>
      <c r="AC44" s="234">
        <v>60974909</v>
      </c>
      <c r="AD44" s="234">
        <v>0</v>
      </c>
      <c r="AE44" s="234">
        <v>96241425</v>
      </c>
      <c r="AF44" s="242">
        <v>162126334</v>
      </c>
      <c r="AG44" s="234">
        <v>28975800</v>
      </c>
      <c r="AH44" s="234">
        <v>0</v>
      </c>
      <c r="AI44" s="234">
        <v>62511485</v>
      </c>
      <c r="AJ44" s="242">
        <v>91487285</v>
      </c>
      <c r="AK44" s="242">
        <v>253613619</v>
      </c>
      <c r="AL44" s="234">
        <v>803640113</v>
      </c>
      <c r="AM44" s="234">
        <v>48772259</v>
      </c>
      <c r="AN44" s="234">
        <v>8141444</v>
      </c>
      <c r="AO44" s="242">
        <v>860553816</v>
      </c>
      <c r="AP44" s="242">
        <v>1114167435</v>
      </c>
      <c r="AQ44" s="234">
        <v>385753375</v>
      </c>
      <c r="AR44" s="234">
        <v>3587841</v>
      </c>
      <c r="AS44" s="234">
        <v>113206552</v>
      </c>
      <c r="AT44" s="234">
        <v>0</v>
      </c>
      <c r="AU44" s="234">
        <v>0</v>
      </c>
      <c r="AV44" s="234">
        <v>42108</v>
      </c>
      <c r="AW44" s="242">
        <v>502589876</v>
      </c>
      <c r="AX44" s="234">
        <v>25166530</v>
      </c>
      <c r="AY44" s="234">
        <v>0</v>
      </c>
      <c r="AZ44" s="234">
        <v>-25294983</v>
      </c>
      <c r="BA44" s="234">
        <v>15892</v>
      </c>
      <c r="BB44" s="234">
        <v>0</v>
      </c>
      <c r="BC44" s="242">
        <v>-112561</v>
      </c>
      <c r="BD44" s="242">
        <v>502477315</v>
      </c>
      <c r="BE44" s="234">
        <v>268963287</v>
      </c>
      <c r="BF44" s="234">
        <v>0</v>
      </c>
      <c r="BG44" s="234">
        <v>11873845</v>
      </c>
      <c r="BH44" s="234">
        <v>166640</v>
      </c>
      <c r="BI44" s="234">
        <v>17633178</v>
      </c>
      <c r="BJ44" s="234">
        <v>184455231</v>
      </c>
      <c r="BK44" s="234">
        <v>0</v>
      </c>
      <c r="BL44" s="242">
        <v>483092181</v>
      </c>
      <c r="BM44" s="242">
        <v>19385134</v>
      </c>
      <c r="BN44" s="234">
        <v>0</v>
      </c>
      <c r="BO44" s="234">
        <v>772940</v>
      </c>
      <c r="BP44" s="234">
        <v>20158074</v>
      </c>
      <c r="BQ44" s="234">
        <v>0</v>
      </c>
      <c r="BR44" s="234">
        <v>0</v>
      </c>
      <c r="BS44" s="242">
        <v>20158074</v>
      </c>
    </row>
    <row r="45" spans="1:71" s="202" customFormat="1" ht="30" customHeight="1" x14ac:dyDescent="0.3">
      <c r="A45" s="238">
        <v>3107</v>
      </c>
      <c r="B45" s="238" t="s">
        <v>118</v>
      </c>
      <c r="C45" s="238" t="s">
        <v>77</v>
      </c>
      <c r="D45" s="238">
        <v>14287</v>
      </c>
      <c r="E45" s="238">
        <v>2026</v>
      </c>
      <c r="F45" s="238" t="s">
        <v>275</v>
      </c>
      <c r="G45" s="238">
        <v>2</v>
      </c>
      <c r="H45" s="238">
        <v>6</v>
      </c>
      <c r="I45" s="238" t="s">
        <v>703</v>
      </c>
      <c r="J45" s="239">
        <v>4317961</v>
      </c>
      <c r="K45" s="239">
        <v>0</v>
      </c>
      <c r="L45" s="239">
        <v>0</v>
      </c>
      <c r="M45" s="239">
        <v>232196185</v>
      </c>
      <c r="N45" s="239">
        <v>356142888</v>
      </c>
      <c r="O45" s="239">
        <v>5715291</v>
      </c>
      <c r="P45" s="239">
        <v>346654766</v>
      </c>
      <c r="Q45" s="242">
        <v>945027091</v>
      </c>
      <c r="R45" s="239">
        <v>1019897083</v>
      </c>
      <c r="S45" s="239">
        <v>14091100</v>
      </c>
      <c r="T45" s="239">
        <v>0</v>
      </c>
      <c r="U45" s="239">
        <v>0</v>
      </c>
      <c r="V45" s="239">
        <v>2348114097</v>
      </c>
      <c r="W45" s="239">
        <v>1340020477</v>
      </c>
      <c r="X45" s="242">
        <v>1008093620</v>
      </c>
      <c r="Y45" s="239">
        <v>116444231</v>
      </c>
      <c r="Z45" s="242">
        <v>2158526034</v>
      </c>
      <c r="AA45" s="242">
        <v>3103553125</v>
      </c>
      <c r="AB45" s="239">
        <v>8477235</v>
      </c>
      <c r="AC45" s="239">
        <v>0</v>
      </c>
      <c r="AD45" s="239">
        <v>92578377</v>
      </c>
      <c r="AE45" s="239">
        <v>510360112</v>
      </c>
      <c r="AF45" s="242">
        <v>611415724</v>
      </c>
      <c r="AG45" s="239">
        <v>858768639</v>
      </c>
      <c r="AH45" s="239">
        <v>0</v>
      </c>
      <c r="AI45" s="239">
        <v>195367143</v>
      </c>
      <c r="AJ45" s="242">
        <v>1054135782</v>
      </c>
      <c r="AK45" s="242">
        <v>1665551506</v>
      </c>
      <c r="AL45" s="239">
        <v>994177357</v>
      </c>
      <c r="AM45" s="239">
        <v>0</v>
      </c>
      <c r="AN45" s="239">
        <v>443824262</v>
      </c>
      <c r="AO45" s="242">
        <v>1438001619</v>
      </c>
      <c r="AP45" s="242">
        <v>3103553125</v>
      </c>
      <c r="AQ45" s="239">
        <v>884496741</v>
      </c>
      <c r="AR45" s="239">
        <v>0</v>
      </c>
      <c r="AS45" s="239">
        <v>618529811</v>
      </c>
      <c r="AT45" s="239">
        <v>0</v>
      </c>
      <c r="AU45" s="239">
        <v>0</v>
      </c>
      <c r="AV45" s="239">
        <v>16903580</v>
      </c>
      <c r="AW45" s="242">
        <v>1519930132</v>
      </c>
      <c r="AX45" s="239">
        <v>14410097</v>
      </c>
      <c r="AY45" s="239">
        <v>3681439</v>
      </c>
      <c r="AZ45" s="239">
        <v>1511864</v>
      </c>
      <c r="BA45" s="239">
        <v>728657</v>
      </c>
      <c r="BB45" s="239">
        <v>0</v>
      </c>
      <c r="BC45" s="242">
        <v>20332057</v>
      </c>
      <c r="BD45" s="242">
        <v>1540262189</v>
      </c>
      <c r="BE45" s="239">
        <v>494958687</v>
      </c>
      <c r="BF45" s="239">
        <v>0</v>
      </c>
      <c r="BG45" s="239">
        <v>55475571</v>
      </c>
      <c r="BH45" s="239">
        <v>19504065</v>
      </c>
      <c r="BI45" s="239">
        <v>60188622</v>
      </c>
      <c r="BJ45" s="239">
        <v>935139459</v>
      </c>
      <c r="BK45" s="239">
        <v>0</v>
      </c>
      <c r="BL45" s="242">
        <v>1565266404</v>
      </c>
      <c r="BM45" s="242">
        <v>-25004215</v>
      </c>
      <c r="BN45" s="239">
        <v>-7525153</v>
      </c>
      <c r="BO45" s="239">
        <v>0</v>
      </c>
      <c r="BP45" s="239">
        <v>-32529368</v>
      </c>
      <c r="BQ45" s="239">
        <v>0</v>
      </c>
      <c r="BR45" s="239">
        <v>0</v>
      </c>
      <c r="BS45" s="242">
        <v>-32529368</v>
      </c>
    </row>
    <row r="46" spans="1:71" s="164" customFormat="1" ht="30" customHeight="1" x14ac:dyDescent="0.3">
      <c r="A46" s="233">
        <v>3108</v>
      </c>
      <c r="B46" s="233" t="s">
        <v>121</v>
      </c>
      <c r="C46" s="233" t="s">
        <v>77</v>
      </c>
      <c r="D46" s="233">
        <v>13159</v>
      </c>
      <c r="E46" s="233">
        <v>2026</v>
      </c>
      <c r="F46" s="233" t="s">
        <v>276</v>
      </c>
      <c r="G46" s="233">
        <v>3</v>
      </c>
      <c r="H46" s="233">
        <v>9</v>
      </c>
      <c r="I46" s="233" t="s">
        <v>705</v>
      </c>
      <c r="J46" s="234">
        <v>274262645</v>
      </c>
      <c r="K46" s="234">
        <v>15731575</v>
      </c>
      <c r="L46" s="234">
        <v>0</v>
      </c>
      <c r="M46" s="234">
        <v>42804202</v>
      </c>
      <c r="N46" s="234">
        <v>2871167</v>
      </c>
      <c r="O46" s="234">
        <v>95495028</v>
      </c>
      <c r="P46" s="234">
        <v>30973071</v>
      </c>
      <c r="Q46" s="242">
        <v>462137688</v>
      </c>
      <c r="R46" s="234">
        <v>6030000</v>
      </c>
      <c r="S46" s="234">
        <v>0</v>
      </c>
      <c r="T46" s="234">
        <v>0</v>
      </c>
      <c r="U46" s="234">
        <v>0</v>
      </c>
      <c r="V46" s="234">
        <v>932734172</v>
      </c>
      <c r="W46" s="234">
        <v>683865829</v>
      </c>
      <c r="X46" s="242">
        <v>248868343</v>
      </c>
      <c r="Y46" s="234">
        <v>49898901</v>
      </c>
      <c r="Z46" s="242">
        <v>304797244</v>
      </c>
      <c r="AA46" s="242">
        <v>766934932</v>
      </c>
      <c r="AB46" s="234">
        <v>11493142</v>
      </c>
      <c r="AC46" s="234">
        <v>40609</v>
      </c>
      <c r="AD46" s="234">
        <v>0</v>
      </c>
      <c r="AE46" s="234">
        <v>130984277</v>
      </c>
      <c r="AF46" s="242">
        <v>142518028</v>
      </c>
      <c r="AG46" s="234">
        <v>72766135</v>
      </c>
      <c r="AH46" s="234">
        <v>0</v>
      </c>
      <c r="AI46" s="234">
        <v>177936453</v>
      </c>
      <c r="AJ46" s="242">
        <v>250702588</v>
      </c>
      <c r="AK46" s="242">
        <v>393220616</v>
      </c>
      <c r="AL46" s="234">
        <v>372568698</v>
      </c>
      <c r="AM46" s="234">
        <v>0</v>
      </c>
      <c r="AN46" s="234">
        <v>1145618</v>
      </c>
      <c r="AO46" s="242">
        <v>373714316</v>
      </c>
      <c r="AP46" s="242">
        <v>766934932</v>
      </c>
      <c r="AQ46" s="234">
        <v>364165244</v>
      </c>
      <c r="AR46" s="234">
        <v>82623473</v>
      </c>
      <c r="AS46" s="234">
        <v>423265892</v>
      </c>
      <c r="AT46" s="234">
        <v>0</v>
      </c>
      <c r="AU46" s="234">
        <v>0</v>
      </c>
      <c r="AV46" s="234">
        <v>0</v>
      </c>
      <c r="AW46" s="242">
        <v>870054609</v>
      </c>
      <c r="AX46" s="234">
        <v>6245688</v>
      </c>
      <c r="AY46" s="234">
        <v>0</v>
      </c>
      <c r="AZ46" s="234"/>
      <c r="BA46" s="234">
        <v>6664085</v>
      </c>
      <c r="BB46" s="234">
        <v>0</v>
      </c>
      <c r="BC46" s="242">
        <v>12909773</v>
      </c>
      <c r="BD46" s="242">
        <v>882964382</v>
      </c>
      <c r="BE46" s="234">
        <v>517223008</v>
      </c>
      <c r="BF46" s="234">
        <v>6955594</v>
      </c>
      <c r="BG46" s="234">
        <v>32371247</v>
      </c>
      <c r="BH46" s="234">
        <v>2813286</v>
      </c>
      <c r="BI46" s="234">
        <v>3397293</v>
      </c>
      <c r="BJ46" s="234">
        <v>274129370</v>
      </c>
      <c r="BK46" s="234">
        <v>0</v>
      </c>
      <c r="BL46" s="242">
        <v>836889798</v>
      </c>
      <c r="BM46" s="242">
        <v>46074584</v>
      </c>
      <c r="BN46" s="234">
        <v>1399162</v>
      </c>
      <c r="BO46" s="234">
        <v>0</v>
      </c>
      <c r="BP46" s="234">
        <v>47473746</v>
      </c>
      <c r="BQ46" s="234">
        <v>0</v>
      </c>
      <c r="BR46" s="234">
        <v>0</v>
      </c>
      <c r="BS46" s="242">
        <v>47473746</v>
      </c>
    </row>
    <row r="47" spans="1:71" s="202" customFormat="1" ht="30" customHeight="1" x14ac:dyDescent="0.3">
      <c r="A47" s="238">
        <v>3109</v>
      </c>
      <c r="B47" s="238" t="s">
        <v>122</v>
      </c>
      <c r="C47" s="238" t="s">
        <v>75</v>
      </c>
      <c r="D47" s="238">
        <v>3109</v>
      </c>
      <c r="E47" s="238">
        <v>2026</v>
      </c>
      <c r="F47" s="238" t="s">
        <v>275</v>
      </c>
      <c r="G47" s="238">
        <v>2</v>
      </c>
      <c r="H47" s="238">
        <v>6</v>
      </c>
      <c r="I47" s="238" t="s">
        <v>703</v>
      </c>
      <c r="J47" s="239">
        <v>45699621</v>
      </c>
      <c r="K47" s="239">
        <v>61540279</v>
      </c>
      <c r="L47" s="239">
        <v>6666015</v>
      </c>
      <c r="M47" s="239">
        <v>103055950</v>
      </c>
      <c r="N47" s="239">
        <v>0</v>
      </c>
      <c r="O47" s="239">
        <v>0</v>
      </c>
      <c r="P47" s="239">
        <v>55430367</v>
      </c>
      <c r="Q47" s="242">
        <v>272392232</v>
      </c>
      <c r="R47" s="239">
        <v>80596509</v>
      </c>
      <c r="S47" s="239">
        <v>12000829</v>
      </c>
      <c r="T47" s="239">
        <v>0</v>
      </c>
      <c r="U47" s="239">
        <v>0</v>
      </c>
      <c r="V47" s="239">
        <v>1148745852</v>
      </c>
      <c r="W47" s="239">
        <v>641144753</v>
      </c>
      <c r="X47" s="242">
        <v>507601099</v>
      </c>
      <c r="Y47" s="239">
        <v>591444272</v>
      </c>
      <c r="Z47" s="242">
        <v>1191642709</v>
      </c>
      <c r="AA47" s="242">
        <v>1464034941</v>
      </c>
      <c r="AB47" s="239">
        <v>16613483</v>
      </c>
      <c r="AC47" s="239">
        <v>11984200</v>
      </c>
      <c r="AD47" s="239">
        <v>0</v>
      </c>
      <c r="AE47" s="239">
        <v>169425030</v>
      </c>
      <c r="AF47" s="242">
        <v>198022713</v>
      </c>
      <c r="AG47" s="239">
        <v>102937009</v>
      </c>
      <c r="AH47" s="239">
        <v>0</v>
      </c>
      <c r="AI47" s="239">
        <v>90164709</v>
      </c>
      <c r="AJ47" s="242">
        <v>193101718</v>
      </c>
      <c r="AK47" s="242">
        <v>391124431</v>
      </c>
      <c r="AL47" s="239">
        <v>991398044</v>
      </c>
      <c r="AM47" s="239">
        <v>81512466</v>
      </c>
      <c r="AN47" s="239">
        <v>0</v>
      </c>
      <c r="AO47" s="242">
        <v>1072910510</v>
      </c>
      <c r="AP47" s="242">
        <v>1464034941</v>
      </c>
      <c r="AQ47" s="239">
        <v>553040125</v>
      </c>
      <c r="AR47" s="239">
        <v>0</v>
      </c>
      <c r="AS47" s="239">
        <v>50035012</v>
      </c>
      <c r="AT47" s="239">
        <v>0</v>
      </c>
      <c r="AU47" s="239">
        <v>0</v>
      </c>
      <c r="AV47" s="239">
        <v>745122</v>
      </c>
      <c r="AW47" s="242">
        <v>603820259</v>
      </c>
      <c r="AX47" s="239">
        <v>6149265</v>
      </c>
      <c r="AY47" s="239">
        <v>4086736</v>
      </c>
      <c r="AZ47" s="239"/>
      <c r="BA47" s="239">
        <v>7140452</v>
      </c>
      <c r="BB47" s="239">
        <v>0</v>
      </c>
      <c r="BC47" s="242">
        <v>17376453</v>
      </c>
      <c r="BD47" s="242">
        <v>621196712</v>
      </c>
      <c r="BE47" s="239">
        <v>377830806</v>
      </c>
      <c r="BF47" s="239">
        <v>0</v>
      </c>
      <c r="BG47" s="239">
        <v>23373809</v>
      </c>
      <c r="BH47" s="239">
        <v>1286999</v>
      </c>
      <c r="BI47" s="239">
        <v>10162001</v>
      </c>
      <c r="BJ47" s="239">
        <v>214532589</v>
      </c>
      <c r="BK47" s="239">
        <v>0</v>
      </c>
      <c r="BL47" s="242">
        <v>627186204</v>
      </c>
      <c r="BM47" s="242">
        <v>-5989492</v>
      </c>
      <c r="BN47" s="239">
        <v>0</v>
      </c>
      <c r="BO47" s="239">
        <v>5167782</v>
      </c>
      <c r="BP47" s="239">
        <v>-821710</v>
      </c>
      <c r="BQ47" s="239">
        <v>0</v>
      </c>
      <c r="BR47" s="239">
        <v>0</v>
      </c>
      <c r="BS47" s="242">
        <v>-821710</v>
      </c>
    </row>
    <row r="48" spans="1:71" s="164" customFormat="1" ht="30" customHeight="1" x14ac:dyDescent="0.3">
      <c r="A48" s="238">
        <v>3110</v>
      </c>
      <c r="B48" s="238" t="s">
        <v>508</v>
      </c>
      <c r="C48" s="238" t="s">
        <v>77</v>
      </c>
      <c r="D48" s="238">
        <v>3888</v>
      </c>
      <c r="E48" s="238">
        <v>2026</v>
      </c>
      <c r="F48" s="238" t="s">
        <v>630</v>
      </c>
      <c r="G48" s="238">
        <v>1</v>
      </c>
      <c r="H48" s="238">
        <v>3</v>
      </c>
      <c r="I48" s="238" t="s">
        <v>704</v>
      </c>
      <c r="J48" s="239">
        <v>100</v>
      </c>
      <c r="K48" s="239">
        <v>0</v>
      </c>
      <c r="L48" s="239">
        <v>0</v>
      </c>
      <c r="M48" s="239">
        <v>27916633</v>
      </c>
      <c r="N48" s="239">
        <v>0</v>
      </c>
      <c r="O48" s="239">
        <v>415659</v>
      </c>
      <c r="P48" s="239">
        <v>34815878</v>
      </c>
      <c r="Q48" s="242">
        <v>63148270</v>
      </c>
      <c r="R48" s="239">
        <v>0</v>
      </c>
      <c r="S48" s="239">
        <v>0</v>
      </c>
      <c r="T48" s="239">
        <v>0</v>
      </c>
      <c r="U48" s="239">
        <v>356443</v>
      </c>
      <c r="V48" s="239">
        <v>133030351</v>
      </c>
      <c r="W48" s="239">
        <v>81953406</v>
      </c>
      <c r="X48" s="242">
        <v>51076945</v>
      </c>
      <c r="Y48" s="239">
        <v>150797559</v>
      </c>
      <c r="Z48" s="242">
        <v>202230947</v>
      </c>
      <c r="AA48" s="242">
        <v>265379217</v>
      </c>
      <c r="AB48" s="239">
        <v>0</v>
      </c>
      <c r="AC48" s="239">
        <v>0</v>
      </c>
      <c r="AD48" s="239">
        <v>0</v>
      </c>
      <c r="AE48" s="239">
        <v>26129544</v>
      </c>
      <c r="AF48" s="242">
        <v>26129544</v>
      </c>
      <c r="AG48" s="239">
        <v>0</v>
      </c>
      <c r="AH48" s="239">
        <v>416134008</v>
      </c>
      <c r="AI48" s="239">
        <v>1481232</v>
      </c>
      <c r="AJ48" s="242">
        <v>417615240</v>
      </c>
      <c r="AK48" s="242">
        <v>443744784</v>
      </c>
      <c r="AL48" s="239">
        <v>-178365567</v>
      </c>
      <c r="AM48" s="239">
        <v>0</v>
      </c>
      <c r="AN48" s="239">
        <v>0</v>
      </c>
      <c r="AO48" s="242">
        <v>-178365567</v>
      </c>
      <c r="AP48" s="242">
        <v>265379217</v>
      </c>
      <c r="AQ48" s="239">
        <v>46733641</v>
      </c>
      <c r="AR48" s="239">
        <v>0</v>
      </c>
      <c r="AS48" s="239">
        <v>586006</v>
      </c>
      <c r="AT48" s="239">
        <v>0</v>
      </c>
      <c r="AU48" s="239">
        <v>0</v>
      </c>
      <c r="AV48" s="239">
        <v>0</v>
      </c>
      <c r="AW48" s="242">
        <v>47319647</v>
      </c>
      <c r="AX48" s="239">
        <v>5</v>
      </c>
      <c r="AY48" s="239">
        <v>0</v>
      </c>
      <c r="AZ48" s="239">
        <v>0</v>
      </c>
      <c r="BA48" s="239">
        <v>49671</v>
      </c>
      <c r="BB48" s="239">
        <v>0</v>
      </c>
      <c r="BC48" s="242">
        <v>49676</v>
      </c>
      <c r="BD48" s="242">
        <v>47369323</v>
      </c>
      <c r="BE48" s="239">
        <v>26320445</v>
      </c>
      <c r="BF48" s="239">
        <v>0</v>
      </c>
      <c r="BG48" s="239">
        <v>2666732</v>
      </c>
      <c r="BH48" s="239">
        <v>26374</v>
      </c>
      <c r="BI48" s="239">
        <v>489825</v>
      </c>
      <c r="BJ48" s="239">
        <v>24781994</v>
      </c>
      <c r="BK48" s="239">
        <v>0</v>
      </c>
      <c r="BL48" s="242">
        <v>54285370</v>
      </c>
      <c r="BM48" s="242">
        <v>-6916047</v>
      </c>
      <c r="BN48" s="239">
        <v>0</v>
      </c>
      <c r="BO48" s="239">
        <v>0</v>
      </c>
      <c r="BP48" s="239">
        <v>-6916047</v>
      </c>
      <c r="BQ48" s="239">
        <v>0</v>
      </c>
      <c r="BR48" s="239">
        <v>0</v>
      </c>
      <c r="BS48" s="242">
        <v>-6916047</v>
      </c>
    </row>
    <row r="49" spans="1:71" s="202" customFormat="1" ht="30" customHeight="1" x14ac:dyDescent="0.3">
      <c r="A49" s="238">
        <v>3111</v>
      </c>
      <c r="B49" s="238" t="s">
        <v>192</v>
      </c>
      <c r="C49" s="238" t="s">
        <v>77</v>
      </c>
      <c r="D49" s="238">
        <v>12775</v>
      </c>
      <c r="E49" s="238">
        <v>2026</v>
      </c>
      <c r="F49" s="238" t="s">
        <v>275</v>
      </c>
      <c r="G49" s="238">
        <v>2</v>
      </c>
      <c r="H49" s="238">
        <v>6</v>
      </c>
      <c r="I49" s="238" t="s">
        <v>703</v>
      </c>
      <c r="J49" s="239">
        <v>8418000</v>
      </c>
      <c r="K49" s="239">
        <v>14250000</v>
      </c>
      <c r="L49" s="239">
        <v>0</v>
      </c>
      <c r="M49" s="239">
        <v>32621000</v>
      </c>
      <c r="N49" s="239">
        <v>8789000</v>
      </c>
      <c r="O49" s="239">
        <v>0</v>
      </c>
      <c r="P49" s="239">
        <v>7333000</v>
      </c>
      <c r="Q49" s="242">
        <v>71411000</v>
      </c>
      <c r="R49" s="239">
        <v>23580000</v>
      </c>
      <c r="S49" s="239">
        <v>0</v>
      </c>
      <c r="T49" s="239">
        <v>0</v>
      </c>
      <c r="U49" s="239">
        <v>1755000</v>
      </c>
      <c r="V49" s="239">
        <v>563075000</v>
      </c>
      <c r="W49" s="239">
        <v>448965000</v>
      </c>
      <c r="X49" s="242">
        <v>114110000</v>
      </c>
      <c r="Y49" s="239">
        <v>12182000</v>
      </c>
      <c r="Z49" s="242">
        <v>151627000</v>
      </c>
      <c r="AA49" s="242">
        <v>223038000</v>
      </c>
      <c r="AB49" s="239">
        <v>504000</v>
      </c>
      <c r="AC49" s="239">
        <v>-3180000</v>
      </c>
      <c r="AD49" s="239">
        <v>31659000</v>
      </c>
      <c r="AE49" s="239">
        <v>20782000</v>
      </c>
      <c r="AF49" s="242">
        <v>49765000</v>
      </c>
      <c r="AG49" s="239">
        <v>7464000</v>
      </c>
      <c r="AH49" s="239">
        <v>0</v>
      </c>
      <c r="AI49" s="239">
        <v>5166000</v>
      </c>
      <c r="AJ49" s="242">
        <v>12630000</v>
      </c>
      <c r="AK49" s="242">
        <v>62395000</v>
      </c>
      <c r="AL49" s="239">
        <v>137063000</v>
      </c>
      <c r="AM49" s="239">
        <v>6111000</v>
      </c>
      <c r="AN49" s="239">
        <v>17469000</v>
      </c>
      <c r="AO49" s="242">
        <v>160643000</v>
      </c>
      <c r="AP49" s="242">
        <v>223038000</v>
      </c>
      <c r="AQ49" s="239">
        <v>119888000</v>
      </c>
      <c r="AR49" s="239">
        <v>0</v>
      </c>
      <c r="AS49" s="239">
        <v>6107000</v>
      </c>
      <c r="AT49" s="239">
        <v>0</v>
      </c>
      <c r="AU49" s="239">
        <v>0</v>
      </c>
      <c r="AV49" s="239">
        <v>610000</v>
      </c>
      <c r="AW49" s="242">
        <v>126605000</v>
      </c>
      <c r="AX49" s="239">
        <v>68000</v>
      </c>
      <c r="AY49" s="239">
        <v>-109000</v>
      </c>
      <c r="AZ49" s="239">
        <v>0</v>
      </c>
      <c r="BA49" s="239">
        <v>-345000</v>
      </c>
      <c r="BB49" s="239">
        <v>0</v>
      </c>
      <c r="BC49" s="242">
        <v>-386000</v>
      </c>
      <c r="BD49" s="242">
        <v>126219000</v>
      </c>
      <c r="BE49" s="239">
        <v>74481000</v>
      </c>
      <c r="BF49" s="239">
        <v>0</v>
      </c>
      <c r="BG49" s="239">
        <v>6884000</v>
      </c>
      <c r="BH49" s="239">
        <v>3644000</v>
      </c>
      <c r="BI49" s="239">
        <v>2280000</v>
      </c>
      <c r="BJ49" s="239">
        <v>52633000</v>
      </c>
      <c r="BK49" s="239">
        <v>0</v>
      </c>
      <c r="BL49" s="242">
        <v>139922000</v>
      </c>
      <c r="BM49" s="242">
        <v>-13703000</v>
      </c>
      <c r="BN49" s="239">
        <v>-6035000</v>
      </c>
      <c r="BO49" s="239">
        <v>51000</v>
      </c>
      <c r="BP49" s="239">
        <v>-19687000</v>
      </c>
      <c r="BQ49" s="239">
        <v>0</v>
      </c>
      <c r="BR49" s="239">
        <v>0</v>
      </c>
      <c r="BS49" s="242">
        <v>-19687000</v>
      </c>
    </row>
    <row r="50" spans="1:71" s="164" customFormat="1" ht="30" customHeight="1" x14ac:dyDescent="0.3">
      <c r="A50" s="233">
        <v>3112</v>
      </c>
      <c r="B50" s="233" t="s">
        <v>100</v>
      </c>
      <c r="C50" s="233" t="s">
        <v>77</v>
      </c>
      <c r="D50" s="233">
        <v>16665</v>
      </c>
      <c r="E50" s="233">
        <v>2026</v>
      </c>
      <c r="F50" s="233" t="s">
        <v>275</v>
      </c>
      <c r="G50" s="233">
        <v>2</v>
      </c>
      <c r="H50" s="233">
        <v>6</v>
      </c>
      <c r="I50" s="233" t="s">
        <v>703</v>
      </c>
      <c r="J50" s="234">
        <v>774000</v>
      </c>
      <c r="K50" s="234">
        <v>265293000</v>
      </c>
      <c r="L50" s="234">
        <v>0</v>
      </c>
      <c r="M50" s="234">
        <v>54827000</v>
      </c>
      <c r="N50" s="234">
        <v>252788000</v>
      </c>
      <c r="O50" s="234">
        <v>0</v>
      </c>
      <c r="P50" s="234">
        <v>26008000</v>
      </c>
      <c r="Q50" s="242">
        <v>599690000</v>
      </c>
      <c r="R50" s="234">
        <v>24719000</v>
      </c>
      <c r="S50" s="234">
        <v>510000</v>
      </c>
      <c r="T50" s="234">
        <v>0</v>
      </c>
      <c r="U50" s="234">
        <v>0</v>
      </c>
      <c r="V50" s="234">
        <v>463974000</v>
      </c>
      <c r="W50" s="234">
        <v>346436000</v>
      </c>
      <c r="X50" s="242">
        <v>117538000</v>
      </c>
      <c r="Y50" s="234">
        <v>12239000</v>
      </c>
      <c r="Z50" s="242">
        <v>155006000</v>
      </c>
      <c r="AA50" s="242">
        <v>754696000</v>
      </c>
      <c r="AB50" s="234">
        <v>3985000</v>
      </c>
      <c r="AC50" s="234">
        <v>17609000</v>
      </c>
      <c r="AD50" s="234">
        <v>0</v>
      </c>
      <c r="AE50" s="234">
        <v>47558000</v>
      </c>
      <c r="AF50" s="242">
        <v>69152000</v>
      </c>
      <c r="AG50" s="234">
        <v>108776000</v>
      </c>
      <c r="AH50" s="234">
        <v>0</v>
      </c>
      <c r="AI50" s="234">
        <v>25976000</v>
      </c>
      <c r="AJ50" s="242">
        <v>134752000</v>
      </c>
      <c r="AK50" s="242">
        <v>203904000</v>
      </c>
      <c r="AL50" s="234">
        <v>515064000</v>
      </c>
      <c r="AM50" s="234">
        <v>23383000</v>
      </c>
      <c r="AN50" s="234">
        <v>12345000</v>
      </c>
      <c r="AO50" s="242">
        <v>550792000</v>
      </c>
      <c r="AP50" s="242">
        <v>754696000</v>
      </c>
      <c r="AQ50" s="234">
        <v>231474000</v>
      </c>
      <c r="AR50" s="234">
        <v>0</v>
      </c>
      <c r="AS50" s="234">
        <v>184884000</v>
      </c>
      <c r="AT50" s="234">
        <v>0</v>
      </c>
      <c r="AU50" s="234">
        <v>0</v>
      </c>
      <c r="AV50" s="234">
        <v>0</v>
      </c>
      <c r="AW50" s="242">
        <v>416358000</v>
      </c>
      <c r="AX50" s="234">
        <v>1323000</v>
      </c>
      <c r="AY50" s="234">
        <v>0</v>
      </c>
      <c r="AZ50" s="234">
        <v>3825000</v>
      </c>
      <c r="BA50" s="234">
        <v>-1112000</v>
      </c>
      <c r="BB50" s="234">
        <v>0</v>
      </c>
      <c r="BC50" s="242">
        <v>4036000</v>
      </c>
      <c r="BD50" s="242">
        <v>420394000</v>
      </c>
      <c r="BE50" s="234">
        <v>126818000</v>
      </c>
      <c r="BF50" s="234">
        <v>0</v>
      </c>
      <c r="BG50" s="234">
        <v>7703000</v>
      </c>
      <c r="BH50" s="234">
        <v>1251000</v>
      </c>
      <c r="BI50" s="234">
        <v>3989000</v>
      </c>
      <c r="BJ50" s="234">
        <v>210860000</v>
      </c>
      <c r="BK50" s="234">
        <v>0</v>
      </c>
      <c r="BL50" s="242">
        <v>350621000</v>
      </c>
      <c r="BM50" s="242">
        <v>69773000</v>
      </c>
      <c r="BN50" s="234">
        <v>-238000</v>
      </c>
      <c r="BO50" s="234">
        <v>39000</v>
      </c>
      <c r="BP50" s="234">
        <v>69574000</v>
      </c>
      <c r="BQ50" s="234">
        <v>0</v>
      </c>
      <c r="BR50" s="234">
        <v>0</v>
      </c>
      <c r="BS50" s="242">
        <v>69574000</v>
      </c>
    </row>
    <row r="51" spans="1:71" s="202" customFormat="1" ht="30" customHeight="1" x14ac:dyDescent="0.3">
      <c r="A51" s="233">
        <v>3113</v>
      </c>
      <c r="B51" s="233" t="s">
        <v>171</v>
      </c>
      <c r="C51" s="233" t="s">
        <v>77</v>
      </c>
      <c r="D51" s="233">
        <v>4027</v>
      </c>
      <c r="E51" s="233">
        <v>2026</v>
      </c>
      <c r="F51" s="233" t="s">
        <v>275</v>
      </c>
      <c r="G51" s="233">
        <v>2</v>
      </c>
      <c r="H51" s="233">
        <v>6</v>
      </c>
      <c r="I51" s="233" t="s">
        <v>703</v>
      </c>
      <c r="J51" s="234">
        <v>8959823.9710000008</v>
      </c>
      <c r="K51" s="234">
        <v>5516583.9500000002</v>
      </c>
      <c r="L51" s="234">
        <v>1697188.89</v>
      </c>
      <c r="M51" s="234">
        <v>129521933.934</v>
      </c>
      <c r="N51" s="234">
        <v>39206125.358000003</v>
      </c>
      <c r="O51" s="234">
        <v>36580830.880000003</v>
      </c>
      <c r="P51" s="234">
        <v>60377882.75</v>
      </c>
      <c r="Q51" s="242">
        <v>281860369.73299998</v>
      </c>
      <c r="R51" s="234">
        <v>98111350.966999993</v>
      </c>
      <c r="S51" s="234">
        <v>349953.81</v>
      </c>
      <c r="T51" s="234">
        <v>0</v>
      </c>
      <c r="U51" s="234">
        <v>0</v>
      </c>
      <c r="V51" s="234">
        <v>1059298706.08</v>
      </c>
      <c r="W51" s="234">
        <v>741516393.61000001</v>
      </c>
      <c r="X51" s="242">
        <v>317782312.47000003</v>
      </c>
      <c r="Y51" s="234">
        <v>505782333.25999999</v>
      </c>
      <c r="Z51" s="242">
        <v>922025950.50699997</v>
      </c>
      <c r="AA51" s="242">
        <v>1203886320.24</v>
      </c>
      <c r="AB51" s="234">
        <v>11798335.960000001</v>
      </c>
      <c r="AC51" s="234">
        <v>2720623.4920000001</v>
      </c>
      <c r="AD51" s="234">
        <v>9492942.0160000008</v>
      </c>
      <c r="AE51" s="234">
        <v>184666938.75999999</v>
      </c>
      <c r="AF51" s="242">
        <v>208678840.22799999</v>
      </c>
      <c r="AG51" s="234">
        <v>197360080.86000001</v>
      </c>
      <c r="AH51" s="234">
        <v>0</v>
      </c>
      <c r="AI51" s="234">
        <v>82512799.939999998</v>
      </c>
      <c r="AJ51" s="242">
        <v>279872880.80000001</v>
      </c>
      <c r="AK51" s="242">
        <v>488551721.028</v>
      </c>
      <c r="AL51" s="234">
        <v>627007352.12300003</v>
      </c>
      <c r="AM51" s="234">
        <v>35339314.781000003</v>
      </c>
      <c r="AN51" s="234">
        <v>52987932.306000002</v>
      </c>
      <c r="AO51" s="242">
        <v>715334599.21000004</v>
      </c>
      <c r="AP51" s="242">
        <v>1203886320.2379999</v>
      </c>
      <c r="AQ51" s="234">
        <v>597371596.08000004</v>
      </c>
      <c r="AR51" s="234">
        <v>0</v>
      </c>
      <c r="AS51" s="234">
        <v>99507471.040000007</v>
      </c>
      <c r="AT51" s="234">
        <v>8497455.8900000006</v>
      </c>
      <c r="AU51" s="234">
        <v>0</v>
      </c>
      <c r="AV51" s="234">
        <v>1931549.31</v>
      </c>
      <c r="AW51" s="242">
        <v>707308072.32000005</v>
      </c>
      <c r="AX51" s="234">
        <v>6671134.9500000002</v>
      </c>
      <c r="AY51" s="234">
        <v>495627.53</v>
      </c>
      <c r="AZ51" s="234">
        <v>-17352824.489999998</v>
      </c>
      <c r="BA51" s="234">
        <v>17619043.84</v>
      </c>
      <c r="BB51" s="234">
        <v>0</v>
      </c>
      <c r="BC51" s="242">
        <v>7432981.8300000001</v>
      </c>
      <c r="BD51" s="242">
        <v>714741054.14999998</v>
      </c>
      <c r="BE51" s="234">
        <v>317508504.44</v>
      </c>
      <c r="BF51" s="234">
        <v>0</v>
      </c>
      <c r="BG51" s="234">
        <v>24892452</v>
      </c>
      <c r="BH51" s="234">
        <v>3721705.46</v>
      </c>
      <c r="BI51" s="234">
        <v>51316416</v>
      </c>
      <c r="BJ51" s="234">
        <v>291412341.57999998</v>
      </c>
      <c r="BK51" s="234">
        <v>0</v>
      </c>
      <c r="BL51" s="242">
        <v>688851419.48000002</v>
      </c>
      <c r="BM51" s="242">
        <v>25889634.670000099</v>
      </c>
      <c r="BN51" s="234">
        <v>-54506149.619999997</v>
      </c>
      <c r="BO51" s="234">
        <v>287833.46000000002</v>
      </c>
      <c r="BP51" s="234">
        <v>-28328681.489999902</v>
      </c>
      <c r="BQ51" s="234">
        <v>0</v>
      </c>
      <c r="BR51" s="234">
        <v>0</v>
      </c>
      <c r="BS51" s="242">
        <v>-28328681.489999902</v>
      </c>
    </row>
    <row r="52" spans="1:71" s="164" customFormat="1" ht="30" customHeight="1" x14ac:dyDescent="0.3">
      <c r="A52" s="238">
        <v>3115</v>
      </c>
      <c r="B52" s="238" t="s">
        <v>201</v>
      </c>
      <c r="C52" s="238" t="s">
        <v>77</v>
      </c>
      <c r="D52" s="238">
        <v>6755</v>
      </c>
      <c r="E52" s="238">
        <v>2026</v>
      </c>
      <c r="F52" s="238" t="s">
        <v>275</v>
      </c>
      <c r="G52" s="238">
        <v>2</v>
      </c>
      <c r="H52" s="238">
        <v>6</v>
      </c>
      <c r="I52" s="238" t="s">
        <v>703</v>
      </c>
      <c r="J52" s="239">
        <v>28675000</v>
      </c>
      <c r="K52" s="239">
        <v>457000</v>
      </c>
      <c r="L52" s="239">
        <v>0</v>
      </c>
      <c r="M52" s="239">
        <v>372601000</v>
      </c>
      <c r="N52" s="239">
        <v>418036000</v>
      </c>
      <c r="O52" s="239">
        <v>80655000</v>
      </c>
      <c r="P52" s="239">
        <v>83259000</v>
      </c>
      <c r="Q52" s="242">
        <v>983683000</v>
      </c>
      <c r="R52" s="239">
        <v>6679000</v>
      </c>
      <c r="S52" s="239">
        <v>0</v>
      </c>
      <c r="T52" s="239">
        <v>0</v>
      </c>
      <c r="U52" s="239">
        <v>0</v>
      </c>
      <c r="V52" s="239">
        <v>1361562000</v>
      </c>
      <c r="W52" s="239">
        <v>856738000</v>
      </c>
      <c r="X52" s="242">
        <v>504824000</v>
      </c>
      <c r="Y52" s="239">
        <v>294175000</v>
      </c>
      <c r="Z52" s="242">
        <v>805678000</v>
      </c>
      <c r="AA52" s="242">
        <v>1789361000</v>
      </c>
      <c r="AB52" s="239">
        <v>0</v>
      </c>
      <c r="AC52" s="239">
        <v>4606000</v>
      </c>
      <c r="AD52" s="239">
        <v>801650000</v>
      </c>
      <c r="AE52" s="239">
        <v>367187000</v>
      </c>
      <c r="AF52" s="242">
        <v>1173443000</v>
      </c>
      <c r="AG52" s="239">
        <v>0</v>
      </c>
      <c r="AH52" s="239">
        <v>268200000</v>
      </c>
      <c r="AI52" s="239">
        <v>56014000</v>
      </c>
      <c r="AJ52" s="242">
        <v>324214000</v>
      </c>
      <c r="AK52" s="242">
        <v>1497657000</v>
      </c>
      <c r="AL52" s="239">
        <v>193627000</v>
      </c>
      <c r="AM52" s="239">
        <v>67076000</v>
      </c>
      <c r="AN52" s="239">
        <v>31001000</v>
      </c>
      <c r="AO52" s="242">
        <v>291704000</v>
      </c>
      <c r="AP52" s="242">
        <v>1789361000</v>
      </c>
      <c r="AQ52" s="239">
        <v>1605600000</v>
      </c>
      <c r="AR52" s="239">
        <v>0</v>
      </c>
      <c r="AS52" s="239">
        <v>81831000</v>
      </c>
      <c r="AT52" s="239">
        <v>0</v>
      </c>
      <c r="AU52" s="239">
        <v>0</v>
      </c>
      <c r="AV52" s="239">
        <v>1635000</v>
      </c>
      <c r="AW52" s="242">
        <v>1689066000</v>
      </c>
      <c r="AX52" s="239">
        <v>2535000</v>
      </c>
      <c r="AY52" s="239">
        <v>1055000</v>
      </c>
      <c r="AZ52" s="239"/>
      <c r="BA52" s="239">
        <v>1285000</v>
      </c>
      <c r="BB52" s="239">
        <v>0</v>
      </c>
      <c r="BC52" s="242">
        <v>4875000</v>
      </c>
      <c r="BD52" s="242">
        <v>1693941000</v>
      </c>
      <c r="BE52" s="239">
        <v>593837000</v>
      </c>
      <c r="BF52" s="239">
        <v>0</v>
      </c>
      <c r="BG52" s="239">
        <v>32488000</v>
      </c>
      <c r="BH52" s="239">
        <v>13695000</v>
      </c>
      <c r="BI52" s="239">
        <v>36934000</v>
      </c>
      <c r="BJ52" s="239">
        <v>1010152000</v>
      </c>
      <c r="BK52" s="239">
        <v>0</v>
      </c>
      <c r="BL52" s="242">
        <v>1687106000</v>
      </c>
      <c r="BM52" s="242">
        <v>6835000</v>
      </c>
      <c r="BN52" s="239">
        <v>-11805000</v>
      </c>
      <c r="BO52" s="239">
        <v>354000</v>
      </c>
      <c r="BP52" s="239">
        <v>-4616000</v>
      </c>
      <c r="BQ52" s="239">
        <v>0</v>
      </c>
      <c r="BR52" s="239">
        <v>0</v>
      </c>
      <c r="BS52" s="242">
        <v>-4616000</v>
      </c>
    </row>
    <row r="53" spans="1:71" s="202" customFormat="1" ht="30" customHeight="1" x14ac:dyDescent="0.3">
      <c r="A53" s="238">
        <v>3791</v>
      </c>
      <c r="B53" s="238" t="s">
        <v>141</v>
      </c>
      <c r="C53" s="238" t="s">
        <v>75</v>
      </c>
      <c r="D53" s="238">
        <v>3791</v>
      </c>
      <c r="E53" s="238">
        <v>2026</v>
      </c>
      <c r="F53" s="238" t="s">
        <v>275</v>
      </c>
      <c r="G53" s="238">
        <v>2</v>
      </c>
      <c r="H53" s="238">
        <v>6</v>
      </c>
      <c r="I53" s="238" t="s">
        <v>703</v>
      </c>
      <c r="J53" s="239">
        <v>310082000</v>
      </c>
      <c r="K53" s="239">
        <v>4892417000</v>
      </c>
      <c r="L53" s="239">
        <v>3534336000</v>
      </c>
      <c r="M53" s="239">
        <v>1962437000</v>
      </c>
      <c r="N53" s="239">
        <v>0</v>
      </c>
      <c r="O53" s="239">
        <v>150644000</v>
      </c>
      <c r="P53" s="239">
        <v>1666518000</v>
      </c>
      <c r="Q53" s="242">
        <v>12516434000</v>
      </c>
      <c r="R53" s="239">
        <v>7320547000</v>
      </c>
      <c r="S53" s="239">
        <v>434218000</v>
      </c>
      <c r="T53" s="239">
        <v>0</v>
      </c>
      <c r="U53" s="239">
        <v>0</v>
      </c>
      <c r="V53" s="239">
        <v>17298124000</v>
      </c>
      <c r="W53" s="239">
        <v>8902645000</v>
      </c>
      <c r="X53" s="242">
        <v>8395479000</v>
      </c>
      <c r="Y53" s="239">
        <v>8083309000</v>
      </c>
      <c r="Z53" s="242">
        <v>24233553000</v>
      </c>
      <c r="AA53" s="242">
        <v>36749987000</v>
      </c>
      <c r="AB53" s="239">
        <v>364115000</v>
      </c>
      <c r="AC53" s="239">
        <v>87642000</v>
      </c>
      <c r="AD53" s="239">
        <v>0</v>
      </c>
      <c r="AE53" s="239">
        <v>3279736000</v>
      </c>
      <c r="AF53" s="242">
        <v>3731493000</v>
      </c>
      <c r="AG53" s="239">
        <v>6044234000</v>
      </c>
      <c r="AH53" s="239">
        <v>0</v>
      </c>
      <c r="AI53" s="239">
        <v>2968426000</v>
      </c>
      <c r="AJ53" s="242">
        <v>9012660000</v>
      </c>
      <c r="AK53" s="242">
        <v>12744153000</v>
      </c>
      <c r="AL53" s="239">
        <v>19232446000</v>
      </c>
      <c r="AM53" s="239">
        <v>4773388000</v>
      </c>
      <c r="AN53" s="239">
        <v>0</v>
      </c>
      <c r="AO53" s="242">
        <v>24005834000</v>
      </c>
      <c r="AP53" s="242">
        <v>36749987000</v>
      </c>
      <c r="AQ53" s="239">
        <v>7522331000</v>
      </c>
      <c r="AR53" s="239">
        <v>0</v>
      </c>
      <c r="AS53" s="239">
        <v>4432062000</v>
      </c>
      <c r="AT53" s="239">
        <v>0</v>
      </c>
      <c r="AU53" s="239">
        <v>0</v>
      </c>
      <c r="AV53" s="239">
        <v>0</v>
      </c>
      <c r="AW53" s="242">
        <v>11954393000</v>
      </c>
      <c r="AX53" s="239">
        <v>238514000</v>
      </c>
      <c r="AY53" s="239">
        <v>-18632000</v>
      </c>
      <c r="AZ53" s="239">
        <v>-140172000</v>
      </c>
      <c r="BA53" s="239">
        <v>0</v>
      </c>
      <c r="BB53" s="239">
        <v>222723000</v>
      </c>
      <c r="BC53" s="242">
        <v>302433000</v>
      </c>
      <c r="BD53" s="242">
        <v>12256826000</v>
      </c>
      <c r="BE53" s="239">
        <v>5769323000</v>
      </c>
      <c r="BF53" s="239">
        <v>0</v>
      </c>
      <c r="BG53" s="239">
        <v>398191000</v>
      </c>
      <c r="BH53" s="239">
        <v>90548000</v>
      </c>
      <c r="BI53" s="239">
        <v>33354000</v>
      </c>
      <c r="BJ53" s="239">
        <v>5728370000</v>
      </c>
      <c r="BK53" s="239">
        <v>0</v>
      </c>
      <c r="BL53" s="242">
        <v>12019786000</v>
      </c>
      <c r="BM53" s="242">
        <v>237040000</v>
      </c>
      <c r="BN53" s="239">
        <v>0</v>
      </c>
      <c r="BO53" s="239">
        <v>27108000</v>
      </c>
      <c r="BP53" s="239">
        <v>264148000</v>
      </c>
      <c r="BQ53" s="239">
        <v>0</v>
      </c>
      <c r="BR53" s="239">
        <v>0</v>
      </c>
      <c r="BS53" s="242">
        <v>264148000</v>
      </c>
    </row>
    <row r="54" spans="1:71" s="164" customFormat="1" ht="30" customHeight="1" x14ac:dyDescent="0.3">
      <c r="A54" s="238">
        <v>3888</v>
      </c>
      <c r="B54" s="238" t="s">
        <v>615</v>
      </c>
      <c r="C54" s="238" t="s">
        <v>75</v>
      </c>
      <c r="D54" s="238">
        <v>3888</v>
      </c>
      <c r="E54" s="238">
        <v>2026</v>
      </c>
      <c r="F54" s="238" t="s">
        <v>630</v>
      </c>
      <c r="G54" s="238">
        <v>1</v>
      </c>
      <c r="H54" s="238">
        <v>3</v>
      </c>
      <c r="I54" s="238" t="s">
        <v>704</v>
      </c>
      <c r="J54" s="239">
        <v>2967000000</v>
      </c>
      <c r="K54" s="239">
        <v>0</v>
      </c>
      <c r="L54" s="239">
        <v>0</v>
      </c>
      <c r="M54" s="239">
        <v>2605000000</v>
      </c>
      <c r="N54" s="239">
        <v>0</v>
      </c>
      <c r="O54" s="239">
        <v>0</v>
      </c>
      <c r="P54" s="239">
        <v>2784000000</v>
      </c>
      <c r="Q54" s="242">
        <v>8356000000</v>
      </c>
      <c r="R54" s="239">
        <v>0</v>
      </c>
      <c r="S54" s="239">
        <v>0</v>
      </c>
      <c r="T54" s="239">
        <v>0</v>
      </c>
      <c r="U54" s="239">
        <v>3809000000</v>
      </c>
      <c r="V54" s="239">
        <v>13065000000</v>
      </c>
      <c r="W54" s="239">
        <v>6814000000</v>
      </c>
      <c r="X54" s="242">
        <v>6251000000</v>
      </c>
      <c r="Y54" s="239">
        <v>12787000000</v>
      </c>
      <c r="Z54" s="242">
        <v>22847000000</v>
      </c>
      <c r="AA54" s="242">
        <v>31203000000</v>
      </c>
      <c r="AB54" s="239">
        <v>81000000</v>
      </c>
      <c r="AC54" s="239">
        <v>0</v>
      </c>
      <c r="AD54" s="239">
        <v>0</v>
      </c>
      <c r="AE54" s="239">
        <v>6071000000</v>
      </c>
      <c r="AF54" s="242">
        <v>6152000000</v>
      </c>
      <c r="AG54" s="239">
        <v>13128000000</v>
      </c>
      <c r="AH54" s="239">
        <v>0</v>
      </c>
      <c r="AI54" s="239">
        <v>3073000000</v>
      </c>
      <c r="AJ54" s="242">
        <v>16201000000</v>
      </c>
      <c r="AK54" s="242">
        <v>22353000000</v>
      </c>
      <c r="AL54" s="239">
        <v>8850000000</v>
      </c>
      <c r="AM54" s="239">
        <v>0</v>
      </c>
      <c r="AN54" s="239">
        <v>0</v>
      </c>
      <c r="AO54" s="242">
        <v>8850000000</v>
      </c>
      <c r="AP54" s="242">
        <v>31203000000</v>
      </c>
      <c r="AQ54" s="239">
        <v>5368000000</v>
      </c>
      <c r="AR54" s="239">
        <v>0</v>
      </c>
      <c r="AS54" s="239">
        <v>464000000</v>
      </c>
      <c r="AT54" s="239">
        <v>0</v>
      </c>
      <c r="AU54" s="239">
        <v>0</v>
      </c>
      <c r="AV54" s="239">
        <v>0</v>
      </c>
      <c r="AW54" s="242">
        <v>5832000000</v>
      </c>
      <c r="AX54" s="239">
        <v>0</v>
      </c>
      <c r="AY54" s="239">
        <v>0</v>
      </c>
      <c r="AZ54" s="239">
        <v>-204000000</v>
      </c>
      <c r="BA54" s="239">
        <v>41000000</v>
      </c>
      <c r="BB54" s="239">
        <v>0</v>
      </c>
      <c r="BC54" s="242">
        <v>-163000000</v>
      </c>
      <c r="BD54" s="242">
        <v>5669000000</v>
      </c>
      <c r="BE54" s="239">
        <v>2174000000</v>
      </c>
      <c r="BF54" s="239">
        <v>0</v>
      </c>
      <c r="BG54" s="239">
        <v>229000000</v>
      </c>
      <c r="BH54" s="239">
        <v>205000000</v>
      </c>
      <c r="BI54" s="239">
        <v>0</v>
      </c>
      <c r="BJ54" s="239">
        <v>2359000000</v>
      </c>
      <c r="BK54" s="239">
        <v>0</v>
      </c>
      <c r="BL54" s="242">
        <v>4967000000</v>
      </c>
      <c r="BM54" s="242">
        <v>702000000</v>
      </c>
      <c r="BN54" s="239">
        <v>0</v>
      </c>
      <c r="BO54" s="239">
        <v>0</v>
      </c>
      <c r="BP54" s="239">
        <v>702000000</v>
      </c>
      <c r="BQ54" s="239">
        <v>0</v>
      </c>
      <c r="BR54" s="239">
        <v>0</v>
      </c>
      <c r="BS54" s="242">
        <v>702000000</v>
      </c>
    </row>
    <row r="55" spans="1:71" s="202" customFormat="1" ht="30" customHeight="1" x14ac:dyDescent="0.3">
      <c r="A55" s="233">
        <v>4027</v>
      </c>
      <c r="B55" s="233" t="s">
        <v>170</v>
      </c>
      <c r="C55" s="233" t="s">
        <v>75</v>
      </c>
      <c r="D55" s="233">
        <v>4027</v>
      </c>
      <c r="E55" s="233">
        <v>2026</v>
      </c>
      <c r="F55" s="233" t="s">
        <v>275</v>
      </c>
      <c r="G55" s="233">
        <v>2</v>
      </c>
      <c r="H55" s="233">
        <v>6</v>
      </c>
      <c r="I55" s="233" t="s">
        <v>703</v>
      </c>
      <c r="J55" s="234">
        <v>41531913.441</v>
      </c>
      <c r="K55" s="234">
        <v>7552305.2300000004</v>
      </c>
      <c r="L55" s="234">
        <v>9430008.5800000001</v>
      </c>
      <c r="M55" s="234">
        <v>164295671.32100001</v>
      </c>
      <c r="N55" s="234">
        <v>0</v>
      </c>
      <c r="O55" s="234">
        <v>37806947.530000001</v>
      </c>
      <c r="P55" s="234">
        <v>66281639.027999997</v>
      </c>
      <c r="Q55" s="242">
        <v>326898485.13</v>
      </c>
      <c r="R55" s="234">
        <v>163576081.347</v>
      </c>
      <c r="S55" s="234">
        <v>349953.81</v>
      </c>
      <c r="T55" s="234">
        <v>0</v>
      </c>
      <c r="U55" s="234">
        <v>0</v>
      </c>
      <c r="V55" s="234">
        <v>1156750829.688</v>
      </c>
      <c r="W55" s="234">
        <v>783568857.15999997</v>
      </c>
      <c r="X55" s="242">
        <v>373181972.528</v>
      </c>
      <c r="Y55" s="234">
        <v>834464060.56500006</v>
      </c>
      <c r="Z55" s="242">
        <v>1371572068.25</v>
      </c>
      <c r="AA55" s="242">
        <v>1698470553.3800001</v>
      </c>
      <c r="AB55" s="234">
        <v>12169616.109999999</v>
      </c>
      <c r="AC55" s="234">
        <v>3083641.8820000002</v>
      </c>
      <c r="AD55" s="234">
        <v>0</v>
      </c>
      <c r="AE55" s="234">
        <v>255334343.285</v>
      </c>
      <c r="AF55" s="242">
        <v>270587601.27700001</v>
      </c>
      <c r="AG55" s="234">
        <v>208070497.36000001</v>
      </c>
      <c r="AH55" s="234">
        <v>0</v>
      </c>
      <c r="AI55" s="234">
        <v>160578922.87</v>
      </c>
      <c r="AJ55" s="242">
        <v>368649420.23000002</v>
      </c>
      <c r="AK55" s="242">
        <v>639237021.50699997</v>
      </c>
      <c r="AL55" s="234">
        <v>967632053.81400001</v>
      </c>
      <c r="AM55" s="234">
        <v>36318336.480999999</v>
      </c>
      <c r="AN55" s="234">
        <v>55283141.575999998</v>
      </c>
      <c r="AO55" s="242">
        <v>1059233531.8710001</v>
      </c>
      <c r="AP55" s="242">
        <v>1698470553.378</v>
      </c>
      <c r="AQ55" s="234">
        <v>756908827.27999997</v>
      </c>
      <c r="AR55" s="234">
        <v>0</v>
      </c>
      <c r="AS55" s="234">
        <v>98601245.140000001</v>
      </c>
      <c r="AT55" s="234">
        <v>9698531.2200000007</v>
      </c>
      <c r="AU55" s="234">
        <v>0</v>
      </c>
      <c r="AV55" s="234">
        <v>1999958.47</v>
      </c>
      <c r="AW55" s="242">
        <v>867208562.11000001</v>
      </c>
      <c r="AX55" s="234">
        <v>10408450.02</v>
      </c>
      <c r="AY55" s="234">
        <v>727922.12</v>
      </c>
      <c r="AZ55" s="234">
        <v>-28739408.68</v>
      </c>
      <c r="BA55" s="234">
        <v>28620524</v>
      </c>
      <c r="BB55" s="234">
        <v>0</v>
      </c>
      <c r="BC55" s="242">
        <v>11017487.460000001</v>
      </c>
      <c r="BD55" s="242">
        <v>878226049.57000005</v>
      </c>
      <c r="BE55" s="234">
        <v>529051838.43000001</v>
      </c>
      <c r="BF55" s="234">
        <v>0</v>
      </c>
      <c r="BG55" s="234">
        <v>27301683.969999999</v>
      </c>
      <c r="BH55" s="234">
        <v>3934176.12</v>
      </c>
      <c r="BI55" s="234">
        <v>51316416</v>
      </c>
      <c r="BJ55" s="234">
        <v>288085754.75</v>
      </c>
      <c r="BK55" s="234">
        <v>0</v>
      </c>
      <c r="BL55" s="242">
        <v>899689869.26999998</v>
      </c>
      <c r="BM55" s="242">
        <v>-21463819.699999701</v>
      </c>
      <c r="BN55" s="234">
        <v>0</v>
      </c>
      <c r="BO55" s="234">
        <v>216462.69</v>
      </c>
      <c r="BP55" s="234">
        <v>-21247357.0099997</v>
      </c>
      <c r="BQ55" s="234">
        <v>0</v>
      </c>
      <c r="BR55" s="234">
        <v>0</v>
      </c>
      <c r="BS55" s="242">
        <v>-21247357.0099997</v>
      </c>
    </row>
    <row r="56" spans="1:71" s="164" customFormat="1" ht="30" customHeight="1" x14ac:dyDescent="0.3">
      <c r="A56" s="233">
        <v>4066</v>
      </c>
      <c r="B56" s="233" t="s">
        <v>73</v>
      </c>
      <c r="C56" s="233" t="s">
        <v>75</v>
      </c>
      <c r="D56" s="233">
        <v>4066</v>
      </c>
      <c r="E56" s="233">
        <v>2026</v>
      </c>
      <c r="F56" s="233" t="s">
        <v>275</v>
      </c>
      <c r="G56" s="233">
        <v>2</v>
      </c>
      <c r="H56" s="233">
        <v>6</v>
      </c>
      <c r="I56" s="233" t="s">
        <v>703</v>
      </c>
      <c r="J56" s="234">
        <v>282150000</v>
      </c>
      <c r="K56" s="234">
        <v>274136000</v>
      </c>
      <c r="L56" s="234">
        <v>0</v>
      </c>
      <c r="M56" s="234">
        <v>227724000</v>
      </c>
      <c r="N56" s="234">
        <v>0</v>
      </c>
      <c r="O56" s="234">
        <v>48837000</v>
      </c>
      <c r="P56" s="234">
        <v>177000000</v>
      </c>
      <c r="Q56" s="242">
        <v>1009847000</v>
      </c>
      <c r="R56" s="234">
        <v>711164000</v>
      </c>
      <c r="S56" s="234">
        <v>0</v>
      </c>
      <c r="T56" s="234">
        <v>0</v>
      </c>
      <c r="U56" s="234">
        <v>20670000</v>
      </c>
      <c r="V56" s="234">
        <v>2274654000</v>
      </c>
      <c r="W56" s="234">
        <v>1531688000</v>
      </c>
      <c r="X56" s="242">
        <v>742966000</v>
      </c>
      <c r="Y56" s="234">
        <v>165968000</v>
      </c>
      <c r="Z56" s="242">
        <v>1640768000</v>
      </c>
      <c r="AA56" s="242">
        <v>2650615000</v>
      </c>
      <c r="AB56" s="234">
        <v>34076000</v>
      </c>
      <c r="AC56" s="234">
        <v>45563000</v>
      </c>
      <c r="AD56" s="234">
        <v>0</v>
      </c>
      <c r="AE56" s="234">
        <v>504834000</v>
      </c>
      <c r="AF56" s="242">
        <v>584473000</v>
      </c>
      <c r="AG56" s="234">
        <v>545754000</v>
      </c>
      <c r="AH56" s="234">
        <v>0</v>
      </c>
      <c r="AI56" s="234">
        <v>279053000</v>
      </c>
      <c r="AJ56" s="242">
        <v>824807000</v>
      </c>
      <c r="AK56" s="242">
        <v>1409280000</v>
      </c>
      <c r="AL56" s="234">
        <v>1079056000</v>
      </c>
      <c r="AM56" s="234">
        <v>0</v>
      </c>
      <c r="AN56" s="234">
        <v>162279000</v>
      </c>
      <c r="AO56" s="242">
        <v>1241335000</v>
      </c>
      <c r="AP56" s="242">
        <v>2650615000</v>
      </c>
      <c r="AQ56" s="234">
        <v>1090598000</v>
      </c>
      <c r="AR56" s="234">
        <v>0</v>
      </c>
      <c r="AS56" s="234">
        <v>712200000</v>
      </c>
      <c r="AT56" s="234">
        <v>0</v>
      </c>
      <c r="AU56" s="234">
        <v>0</v>
      </c>
      <c r="AV56" s="234">
        <v>0</v>
      </c>
      <c r="AW56" s="242">
        <v>1802798000</v>
      </c>
      <c r="AX56" s="234">
        <v>9484000</v>
      </c>
      <c r="AY56" s="234">
        <v>0</v>
      </c>
      <c r="AZ56" s="234">
        <v>-1348000</v>
      </c>
      <c r="BA56" s="234">
        <v>-1863000</v>
      </c>
      <c r="BB56" s="234">
        <v>122000</v>
      </c>
      <c r="BC56" s="242">
        <v>6395000</v>
      </c>
      <c r="BD56" s="242">
        <v>1809193000</v>
      </c>
      <c r="BE56" s="234">
        <v>754259000</v>
      </c>
      <c r="BF56" s="234">
        <v>0</v>
      </c>
      <c r="BG56" s="234">
        <v>40753000</v>
      </c>
      <c r="BH56" s="234">
        <v>8361000</v>
      </c>
      <c r="BI56" s="234">
        <v>86444000</v>
      </c>
      <c r="BJ56" s="234">
        <v>951319000</v>
      </c>
      <c r="BK56" s="234">
        <v>6256000</v>
      </c>
      <c r="BL56" s="242">
        <v>1847392000</v>
      </c>
      <c r="BM56" s="242">
        <v>-38199000</v>
      </c>
      <c r="BN56" s="234">
        <v>0</v>
      </c>
      <c r="BO56" s="234">
        <v>707000</v>
      </c>
      <c r="BP56" s="234">
        <v>-37492000</v>
      </c>
      <c r="BQ56" s="234">
        <v>0</v>
      </c>
      <c r="BR56" s="234">
        <v>0</v>
      </c>
      <c r="BS56" s="242">
        <v>-37492000</v>
      </c>
    </row>
    <row r="57" spans="1:71" s="202" customFormat="1" ht="30" customHeight="1" x14ac:dyDescent="0.3">
      <c r="A57" s="233">
        <v>6309</v>
      </c>
      <c r="B57" s="233" t="s">
        <v>86</v>
      </c>
      <c r="C57" s="233" t="s">
        <v>77</v>
      </c>
      <c r="D57" s="233">
        <v>3106</v>
      </c>
      <c r="E57" s="233">
        <v>2026</v>
      </c>
      <c r="F57" s="233" t="s">
        <v>275</v>
      </c>
      <c r="G57" s="233">
        <v>2</v>
      </c>
      <c r="H57" s="233">
        <v>6</v>
      </c>
      <c r="I57" s="233" t="s">
        <v>703</v>
      </c>
      <c r="J57" s="234">
        <v>151720853</v>
      </c>
      <c r="K57" s="234">
        <v>0</v>
      </c>
      <c r="L57" s="234">
        <v>0</v>
      </c>
      <c r="M57" s="234">
        <v>56182700</v>
      </c>
      <c r="N57" s="234">
        <v>23528063</v>
      </c>
      <c r="O57" s="234">
        <v>0</v>
      </c>
      <c r="P57" s="234">
        <v>28297252</v>
      </c>
      <c r="Q57" s="242">
        <v>259728868</v>
      </c>
      <c r="R57" s="234">
        <v>446025619</v>
      </c>
      <c r="S57" s="234">
        <v>0</v>
      </c>
      <c r="T57" s="234">
        <v>0</v>
      </c>
      <c r="U57" s="234">
        <v>0</v>
      </c>
      <c r="V57" s="234">
        <v>534573947</v>
      </c>
      <c r="W57" s="234">
        <v>338444361</v>
      </c>
      <c r="X57" s="242">
        <v>196129586</v>
      </c>
      <c r="Y57" s="234">
        <v>17203550</v>
      </c>
      <c r="Z57" s="242">
        <v>659358755</v>
      </c>
      <c r="AA57" s="242">
        <v>919087623</v>
      </c>
      <c r="AB57" s="234">
        <v>4674320</v>
      </c>
      <c r="AC57" s="234">
        <v>50620412</v>
      </c>
      <c r="AD57" s="234">
        <v>0</v>
      </c>
      <c r="AE57" s="234">
        <v>68143765</v>
      </c>
      <c r="AF57" s="242">
        <v>123438497</v>
      </c>
      <c r="AG57" s="234">
        <v>27585280</v>
      </c>
      <c r="AH57" s="234">
        <v>0</v>
      </c>
      <c r="AI57" s="234">
        <v>18579976</v>
      </c>
      <c r="AJ57" s="242">
        <v>46165256</v>
      </c>
      <c r="AK57" s="242">
        <v>169603753</v>
      </c>
      <c r="AL57" s="234">
        <v>700760333</v>
      </c>
      <c r="AM57" s="234">
        <v>40840335</v>
      </c>
      <c r="AN57" s="234">
        <v>7883202</v>
      </c>
      <c r="AO57" s="242">
        <v>749483870</v>
      </c>
      <c r="AP57" s="242">
        <v>919087623</v>
      </c>
      <c r="AQ57" s="234">
        <v>285028648</v>
      </c>
      <c r="AR57" s="234">
        <v>1142680</v>
      </c>
      <c r="AS57" s="234">
        <v>113940238</v>
      </c>
      <c r="AT57" s="234">
        <v>0</v>
      </c>
      <c r="AU57" s="234">
        <v>0</v>
      </c>
      <c r="AV57" s="234">
        <v>42108</v>
      </c>
      <c r="AW57" s="242">
        <v>400153674</v>
      </c>
      <c r="AX57" s="234">
        <v>22278342</v>
      </c>
      <c r="AY57" s="234">
        <v>0</v>
      </c>
      <c r="AZ57" s="234">
        <v>-22650860</v>
      </c>
      <c r="BA57" s="234">
        <v>15892</v>
      </c>
      <c r="BB57" s="234">
        <v>0</v>
      </c>
      <c r="BC57" s="242">
        <v>-356626</v>
      </c>
      <c r="BD57" s="242">
        <v>399797048</v>
      </c>
      <c r="BE57" s="234">
        <v>161943075</v>
      </c>
      <c r="BF57" s="234">
        <v>0</v>
      </c>
      <c r="BG57" s="234">
        <v>9025340</v>
      </c>
      <c r="BH57" s="234">
        <v>159060</v>
      </c>
      <c r="BI57" s="234">
        <v>16808484</v>
      </c>
      <c r="BJ57" s="234">
        <v>168769793</v>
      </c>
      <c r="BK57" s="234">
        <v>0</v>
      </c>
      <c r="BL57" s="242">
        <v>356705752</v>
      </c>
      <c r="BM57" s="242">
        <v>43091296</v>
      </c>
      <c r="BN57" s="234">
        <v>-21367082</v>
      </c>
      <c r="BO57" s="234">
        <v>0</v>
      </c>
      <c r="BP57" s="234">
        <v>21724214</v>
      </c>
      <c r="BQ57" s="234">
        <v>0</v>
      </c>
      <c r="BR57" s="234">
        <v>0</v>
      </c>
      <c r="BS57" s="242">
        <v>21724214</v>
      </c>
    </row>
    <row r="58" spans="1:71" s="164" customFormat="1" ht="30" customHeight="1" x14ac:dyDescent="0.3">
      <c r="A58" s="233">
        <v>6546</v>
      </c>
      <c r="B58" s="233" t="s">
        <v>96</v>
      </c>
      <c r="C58" s="233" t="s">
        <v>77</v>
      </c>
      <c r="D58" s="233">
        <v>16665</v>
      </c>
      <c r="E58" s="233">
        <v>2026</v>
      </c>
      <c r="F58" s="233" t="s">
        <v>275</v>
      </c>
      <c r="G58" s="233">
        <v>2</v>
      </c>
      <c r="H58" s="233">
        <v>6</v>
      </c>
      <c r="I58" s="233" t="s">
        <v>703</v>
      </c>
      <c r="J58" s="234">
        <v>6208000</v>
      </c>
      <c r="K58" s="234">
        <v>412591000</v>
      </c>
      <c r="L58" s="234">
        <v>0</v>
      </c>
      <c r="M58" s="234">
        <v>165423000</v>
      </c>
      <c r="N58" s="234">
        <v>227728000</v>
      </c>
      <c r="O58" s="234">
        <v>0</v>
      </c>
      <c r="P58" s="234">
        <v>26838000</v>
      </c>
      <c r="Q58" s="242">
        <v>838788000</v>
      </c>
      <c r="R58" s="234">
        <v>143712000</v>
      </c>
      <c r="S58" s="234">
        <v>3150000</v>
      </c>
      <c r="T58" s="234">
        <v>0</v>
      </c>
      <c r="U58" s="234">
        <v>0</v>
      </c>
      <c r="V58" s="234">
        <v>1524096000</v>
      </c>
      <c r="W58" s="234">
        <v>1153394000</v>
      </c>
      <c r="X58" s="242">
        <v>370702000</v>
      </c>
      <c r="Y58" s="234">
        <v>30268000</v>
      </c>
      <c r="Z58" s="242">
        <v>547832000</v>
      </c>
      <c r="AA58" s="242">
        <v>1386620000</v>
      </c>
      <c r="AB58" s="234">
        <v>8300000</v>
      </c>
      <c r="AC58" s="234">
        <v>18692000</v>
      </c>
      <c r="AD58" s="234">
        <v>89346000</v>
      </c>
      <c r="AE58" s="234">
        <v>156013000</v>
      </c>
      <c r="AF58" s="242">
        <v>272351000</v>
      </c>
      <c r="AG58" s="234">
        <v>329303000</v>
      </c>
      <c r="AH58" s="234">
        <v>0</v>
      </c>
      <c r="AI58" s="234">
        <v>83934000</v>
      </c>
      <c r="AJ58" s="242">
        <v>413237000</v>
      </c>
      <c r="AK58" s="242">
        <v>685588000</v>
      </c>
      <c r="AL58" s="234">
        <v>560480000</v>
      </c>
      <c r="AM58" s="234">
        <v>47892000</v>
      </c>
      <c r="AN58" s="234">
        <v>92660000</v>
      </c>
      <c r="AO58" s="242">
        <v>701032000</v>
      </c>
      <c r="AP58" s="242">
        <v>1386620000</v>
      </c>
      <c r="AQ58" s="234">
        <v>678436000</v>
      </c>
      <c r="AR58" s="234">
        <v>0</v>
      </c>
      <c r="AS58" s="234">
        <v>40715000</v>
      </c>
      <c r="AT58" s="234">
        <v>0</v>
      </c>
      <c r="AU58" s="234">
        <v>0</v>
      </c>
      <c r="AV58" s="234">
        <v>0</v>
      </c>
      <c r="AW58" s="242">
        <v>719151000</v>
      </c>
      <c r="AX58" s="234">
        <v>2860000</v>
      </c>
      <c r="AY58" s="234">
        <v>0</v>
      </c>
      <c r="AZ58" s="234">
        <v>3158000</v>
      </c>
      <c r="BA58" s="234">
        <v>0</v>
      </c>
      <c r="BB58" s="234">
        <v>0</v>
      </c>
      <c r="BC58" s="242">
        <v>6018000</v>
      </c>
      <c r="BD58" s="242">
        <v>725169000</v>
      </c>
      <c r="BE58" s="234">
        <v>293577000</v>
      </c>
      <c r="BF58" s="234">
        <v>0</v>
      </c>
      <c r="BG58" s="234">
        <v>23535000</v>
      </c>
      <c r="BH58" s="234">
        <v>6521000</v>
      </c>
      <c r="BI58" s="234">
        <v>10833000</v>
      </c>
      <c r="BJ58" s="234">
        <v>303705000</v>
      </c>
      <c r="BK58" s="234">
        <v>0</v>
      </c>
      <c r="BL58" s="242">
        <v>638171000</v>
      </c>
      <c r="BM58" s="242">
        <v>86998000</v>
      </c>
      <c r="BN58" s="234">
        <v>-63211000</v>
      </c>
      <c r="BO58" s="234">
        <v>136000</v>
      </c>
      <c r="BP58" s="234">
        <v>23923000</v>
      </c>
      <c r="BQ58" s="234">
        <v>0</v>
      </c>
      <c r="BR58" s="234">
        <v>0</v>
      </c>
      <c r="BS58" s="242">
        <v>23923000</v>
      </c>
    </row>
    <row r="59" spans="1:71" s="202" customFormat="1" ht="30" customHeight="1" x14ac:dyDescent="0.3">
      <c r="A59" s="238">
        <v>6547</v>
      </c>
      <c r="B59" s="238" t="s">
        <v>184</v>
      </c>
      <c r="C59" s="238" t="s">
        <v>77</v>
      </c>
      <c r="D59" s="238">
        <v>14288</v>
      </c>
      <c r="E59" s="238">
        <v>2026</v>
      </c>
      <c r="F59" s="238" t="s">
        <v>276</v>
      </c>
      <c r="G59" s="238">
        <v>3</v>
      </c>
      <c r="H59" s="238">
        <v>9</v>
      </c>
      <c r="I59" s="238" t="s">
        <v>705</v>
      </c>
      <c r="J59" s="239">
        <v>215790</v>
      </c>
      <c r="K59" s="239">
        <v>10470043</v>
      </c>
      <c r="L59" s="239">
        <v>0</v>
      </c>
      <c r="M59" s="239">
        <v>47434240</v>
      </c>
      <c r="N59" s="239">
        <v>74438091</v>
      </c>
      <c r="O59" s="239">
        <v>0</v>
      </c>
      <c r="P59" s="239">
        <v>13835112</v>
      </c>
      <c r="Q59" s="242">
        <v>146393276</v>
      </c>
      <c r="R59" s="239">
        <v>4762947</v>
      </c>
      <c r="S59" s="239">
        <v>249146</v>
      </c>
      <c r="T59" s="239">
        <v>0</v>
      </c>
      <c r="U59" s="239">
        <v>0</v>
      </c>
      <c r="V59" s="239">
        <v>2122763</v>
      </c>
      <c r="W59" s="239">
        <v>9908</v>
      </c>
      <c r="X59" s="242">
        <v>2112855</v>
      </c>
      <c r="Y59" s="239">
        <v>144078</v>
      </c>
      <c r="Z59" s="242">
        <v>7269026</v>
      </c>
      <c r="AA59" s="242">
        <v>153662302</v>
      </c>
      <c r="AB59" s="239">
        <v>2259222</v>
      </c>
      <c r="AC59" s="239">
        <v>6582116</v>
      </c>
      <c r="AD59" s="239">
        <v>35961237</v>
      </c>
      <c r="AE59" s="239">
        <v>21864913</v>
      </c>
      <c r="AF59" s="242">
        <v>66667488</v>
      </c>
      <c r="AG59" s="239">
        <v>96173223</v>
      </c>
      <c r="AH59" s="239">
        <v>0</v>
      </c>
      <c r="AI59" s="239">
        <v>818219</v>
      </c>
      <c r="AJ59" s="242">
        <v>96991442</v>
      </c>
      <c r="AK59" s="242">
        <v>163658930</v>
      </c>
      <c r="AL59" s="239">
        <v>-15008721</v>
      </c>
      <c r="AM59" s="239">
        <v>3530878</v>
      </c>
      <c r="AN59" s="239">
        <v>1481215</v>
      </c>
      <c r="AO59" s="242">
        <v>-9996628</v>
      </c>
      <c r="AP59" s="242">
        <v>153662302</v>
      </c>
      <c r="AQ59" s="239">
        <v>220884417</v>
      </c>
      <c r="AR59" s="239">
        <v>0</v>
      </c>
      <c r="AS59" s="239">
        <v>37554864</v>
      </c>
      <c r="AT59" s="239">
        <v>0</v>
      </c>
      <c r="AU59" s="239">
        <v>0</v>
      </c>
      <c r="AV59" s="239">
        <v>64246</v>
      </c>
      <c r="AW59" s="242">
        <v>258503527</v>
      </c>
      <c r="AX59" s="239">
        <v>168861</v>
      </c>
      <c r="AY59" s="239">
        <v>17033</v>
      </c>
      <c r="AZ59" s="239"/>
      <c r="BA59" s="239">
        <v>-74178</v>
      </c>
      <c r="BB59" s="239">
        <v>0</v>
      </c>
      <c r="BC59" s="242">
        <v>111716</v>
      </c>
      <c r="BD59" s="242">
        <v>258615243</v>
      </c>
      <c r="BE59" s="239">
        <v>80897402</v>
      </c>
      <c r="BF59" s="239">
        <v>11865840</v>
      </c>
      <c r="BG59" s="239">
        <v>2091770</v>
      </c>
      <c r="BH59" s="239">
        <v>2963393</v>
      </c>
      <c r="BI59" s="239">
        <v>10412343</v>
      </c>
      <c r="BJ59" s="239">
        <v>130291517</v>
      </c>
      <c r="BK59" s="239">
        <v>0</v>
      </c>
      <c r="BL59" s="242">
        <v>238522265</v>
      </c>
      <c r="BM59" s="242">
        <v>20092978</v>
      </c>
      <c r="BN59" s="239">
        <v>0</v>
      </c>
      <c r="BO59" s="239">
        <v>119390</v>
      </c>
      <c r="BP59" s="239">
        <v>20212368</v>
      </c>
      <c r="BQ59" s="239">
        <v>0</v>
      </c>
      <c r="BR59" s="239">
        <v>0</v>
      </c>
      <c r="BS59" s="242">
        <v>20212368</v>
      </c>
    </row>
    <row r="60" spans="1:71" s="164" customFormat="1" ht="30" customHeight="1" x14ac:dyDescent="0.3">
      <c r="A60" s="233">
        <v>6755</v>
      </c>
      <c r="B60" s="233" t="s">
        <v>197</v>
      </c>
      <c r="C60" s="233" t="s">
        <v>75</v>
      </c>
      <c r="D60" s="233">
        <v>6755</v>
      </c>
      <c r="E60" s="233">
        <v>2026</v>
      </c>
      <c r="F60" s="233" t="s">
        <v>275</v>
      </c>
      <c r="G60" s="233">
        <v>2</v>
      </c>
      <c r="H60" s="233">
        <v>6</v>
      </c>
      <c r="I60" s="233" t="s">
        <v>703</v>
      </c>
      <c r="J60" s="234">
        <v>226520000</v>
      </c>
      <c r="K60" s="234">
        <v>249062000</v>
      </c>
      <c r="L60" s="234">
        <v>15427000</v>
      </c>
      <c r="M60" s="234">
        <v>525154000</v>
      </c>
      <c r="N60" s="234">
        <v>0</v>
      </c>
      <c r="O60" s="234">
        <v>137306000</v>
      </c>
      <c r="P60" s="234">
        <v>161550000</v>
      </c>
      <c r="Q60" s="242">
        <v>1315019000</v>
      </c>
      <c r="R60" s="234">
        <v>376161000</v>
      </c>
      <c r="S60" s="234">
        <v>0</v>
      </c>
      <c r="T60" s="234">
        <v>0</v>
      </c>
      <c r="U60" s="234">
        <v>0</v>
      </c>
      <c r="V60" s="234">
        <v>2925484000</v>
      </c>
      <c r="W60" s="234">
        <v>1674107000</v>
      </c>
      <c r="X60" s="242">
        <v>1251377000</v>
      </c>
      <c r="Y60" s="234">
        <v>1300772000</v>
      </c>
      <c r="Z60" s="242">
        <v>2928310000</v>
      </c>
      <c r="AA60" s="242">
        <v>4243329000</v>
      </c>
      <c r="AB60" s="234">
        <v>38591000</v>
      </c>
      <c r="AC60" s="234">
        <v>22880000</v>
      </c>
      <c r="AD60" s="234">
        <v>0</v>
      </c>
      <c r="AE60" s="234">
        <v>784213000</v>
      </c>
      <c r="AF60" s="242">
        <v>845684000</v>
      </c>
      <c r="AG60" s="234">
        <v>987233000</v>
      </c>
      <c r="AH60" s="234">
        <v>0</v>
      </c>
      <c r="AI60" s="234">
        <v>473598000</v>
      </c>
      <c r="AJ60" s="242">
        <v>1460831000</v>
      </c>
      <c r="AK60" s="242">
        <v>2306515000</v>
      </c>
      <c r="AL60" s="234">
        <v>1790588000</v>
      </c>
      <c r="AM60" s="234">
        <v>80921000</v>
      </c>
      <c r="AN60" s="234">
        <v>65305000</v>
      </c>
      <c r="AO60" s="242">
        <v>1936814000</v>
      </c>
      <c r="AP60" s="242">
        <v>4243329000</v>
      </c>
      <c r="AQ60" s="234">
        <v>2638686000</v>
      </c>
      <c r="AR60" s="234">
        <v>0</v>
      </c>
      <c r="AS60" s="234">
        <v>142478000</v>
      </c>
      <c r="AT60" s="234">
        <v>0</v>
      </c>
      <c r="AU60" s="234">
        <v>0</v>
      </c>
      <c r="AV60" s="234">
        <v>2873000</v>
      </c>
      <c r="AW60" s="242">
        <v>2784037000</v>
      </c>
      <c r="AX60" s="234">
        <v>39978000</v>
      </c>
      <c r="AY60" s="234">
        <v>35449000</v>
      </c>
      <c r="AZ60" s="234"/>
      <c r="BA60" s="234">
        <v>15229000</v>
      </c>
      <c r="BB60" s="234">
        <v>0</v>
      </c>
      <c r="BC60" s="242">
        <v>90656000</v>
      </c>
      <c r="BD60" s="242">
        <v>2874693000</v>
      </c>
      <c r="BE60" s="234">
        <v>1392299000</v>
      </c>
      <c r="BF60" s="234">
        <v>0</v>
      </c>
      <c r="BG60" s="234">
        <v>86798000</v>
      </c>
      <c r="BH60" s="234">
        <v>23912000</v>
      </c>
      <c r="BI60" s="234">
        <v>43352000</v>
      </c>
      <c r="BJ60" s="234">
        <v>1274859000</v>
      </c>
      <c r="BK60" s="234">
        <v>0</v>
      </c>
      <c r="BL60" s="242">
        <v>2821220000</v>
      </c>
      <c r="BM60" s="242">
        <v>53473000</v>
      </c>
      <c r="BN60" s="234">
        <v>0</v>
      </c>
      <c r="BO60" s="234">
        <v>1168000</v>
      </c>
      <c r="BP60" s="234">
        <v>54641000</v>
      </c>
      <c r="BQ60" s="234">
        <v>1934000</v>
      </c>
      <c r="BR60" s="234">
        <v>0</v>
      </c>
      <c r="BS60" s="242">
        <v>56575000</v>
      </c>
    </row>
    <row r="61" spans="1:71" s="202" customFormat="1" ht="30" customHeight="1" x14ac:dyDescent="0.3">
      <c r="A61" s="238">
        <v>6963</v>
      </c>
      <c r="B61" s="238" t="s">
        <v>614</v>
      </c>
      <c r="C61" s="238" t="s">
        <v>77</v>
      </c>
      <c r="D61" s="238">
        <v>13158</v>
      </c>
      <c r="E61" s="238">
        <v>2026</v>
      </c>
      <c r="F61" s="238" t="s">
        <v>630</v>
      </c>
      <c r="G61" s="238">
        <v>1</v>
      </c>
      <c r="H61" s="238">
        <v>3</v>
      </c>
      <c r="I61" s="238" t="s">
        <v>704</v>
      </c>
      <c r="J61" s="239">
        <v>131535</v>
      </c>
      <c r="K61" s="239">
        <v>0</v>
      </c>
      <c r="L61" s="239">
        <v>0</v>
      </c>
      <c r="M61" s="239">
        <v>1572666</v>
      </c>
      <c r="N61" s="239">
        <v>78230</v>
      </c>
      <c r="O61" s="239">
        <v>0</v>
      </c>
      <c r="P61" s="239">
        <v>707332</v>
      </c>
      <c r="Q61" s="242">
        <v>2489763</v>
      </c>
      <c r="R61" s="239">
        <v>0</v>
      </c>
      <c r="S61" s="239">
        <v>0</v>
      </c>
      <c r="T61" s="239">
        <v>0</v>
      </c>
      <c r="U61" s="239">
        <v>0</v>
      </c>
      <c r="V61" s="239">
        <v>120870460</v>
      </c>
      <c r="W61" s="239">
        <v>85674329</v>
      </c>
      <c r="X61" s="242">
        <v>35196131</v>
      </c>
      <c r="Y61" s="239">
        <v>2101336</v>
      </c>
      <c r="Z61" s="242">
        <v>37297467</v>
      </c>
      <c r="AA61" s="242">
        <v>39787230</v>
      </c>
      <c r="AB61" s="239">
        <v>0</v>
      </c>
      <c r="AC61" s="239">
        <v>0</v>
      </c>
      <c r="AD61" s="239">
        <v>2128148</v>
      </c>
      <c r="AE61" s="239">
        <v>4577539</v>
      </c>
      <c r="AF61" s="242">
        <v>6705687</v>
      </c>
      <c r="AG61" s="239">
        <v>0</v>
      </c>
      <c r="AH61" s="239">
        <v>0</v>
      </c>
      <c r="AI61" s="239">
        <v>0</v>
      </c>
      <c r="AJ61" s="242">
        <v>0</v>
      </c>
      <c r="AK61" s="242">
        <v>6705687</v>
      </c>
      <c r="AL61" s="239">
        <v>33081543</v>
      </c>
      <c r="AM61" s="239">
        <v>0</v>
      </c>
      <c r="AN61" s="239">
        <v>0</v>
      </c>
      <c r="AO61" s="242">
        <v>33081543</v>
      </c>
      <c r="AP61" s="242">
        <v>39787230</v>
      </c>
      <c r="AQ61" s="239">
        <v>1667229</v>
      </c>
      <c r="AR61" s="239">
        <v>0</v>
      </c>
      <c r="AS61" s="239">
        <v>1158132</v>
      </c>
      <c r="AT61" s="239">
        <v>0</v>
      </c>
      <c r="AU61" s="239">
        <v>0</v>
      </c>
      <c r="AV61" s="239">
        <v>0</v>
      </c>
      <c r="AW61" s="242">
        <v>2825361</v>
      </c>
      <c r="AX61" s="239">
        <v>0</v>
      </c>
      <c r="AY61" s="239">
        <v>0</v>
      </c>
      <c r="AZ61" s="239"/>
      <c r="BA61" s="239">
        <v>0</v>
      </c>
      <c r="BB61" s="239">
        <v>0</v>
      </c>
      <c r="BC61" s="242">
        <v>0</v>
      </c>
      <c r="BD61" s="242">
        <v>2825361</v>
      </c>
      <c r="BE61" s="239">
        <v>3792361</v>
      </c>
      <c r="BF61" s="239">
        <v>0</v>
      </c>
      <c r="BG61" s="239">
        <v>841739</v>
      </c>
      <c r="BH61" s="239">
        <v>0</v>
      </c>
      <c r="BI61" s="239">
        <v>0</v>
      </c>
      <c r="BJ61" s="239">
        <v>4948519</v>
      </c>
      <c r="BK61" s="239">
        <v>0</v>
      </c>
      <c r="BL61" s="242">
        <v>9582619</v>
      </c>
      <c r="BM61" s="242">
        <v>-6757258</v>
      </c>
      <c r="BN61" s="239">
        <v>0</v>
      </c>
      <c r="BO61" s="239">
        <v>0</v>
      </c>
      <c r="BP61" s="239">
        <v>-6757258</v>
      </c>
      <c r="BQ61" s="239">
        <v>0</v>
      </c>
      <c r="BR61" s="239">
        <v>0</v>
      </c>
      <c r="BS61" s="242">
        <v>-6757258</v>
      </c>
    </row>
    <row r="62" spans="1:71" s="164" customFormat="1" ht="30" customHeight="1" x14ac:dyDescent="0.3">
      <c r="A62" s="238">
        <v>7895</v>
      </c>
      <c r="B62" s="238" t="s">
        <v>195</v>
      </c>
      <c r="C62" s="238" t="s">
        <v>83</v>
      </c>
      <c r="D62" s="238">
        <v>12775</v>
      </c>
      <c r="E62" s="238">
        <v>2026</v>
      </c>
      <c r="F62" s="238" t="s">
        <v>275</v>
      </c>
      <c r="G62" s="238">
        <v>2</v>
      </c>
      <c r="H62" s="238">
        <v>6</v>
      </c>
      <c r="I62" s="238" t="s">
        <v>703</v>
      </c>
      <c r="J62" s="239">
        <v>0</v>
      </c>
      <c r="K62" s="239">
        <v>0</v>
      </c>
      <c r="L62" s="239">
        <v>0</v>
      </c>
      <c r="M62" s="239">
        <v>0</v>
      </c>
      <c r="N62" s="239">
        <v>0</v>
      </c>
      <c r="O62" s="239">
        <v>0</v>
      </c>
      <c r="P62" s="239">
        <v>0</v>
      </c>
      <c r="Q62" s="242">
        <v>0</v>
      </c>
      <c r="R62" s="239">
        <v>0</v>
      </c>
      <c r="S62" s="239">
        <v>0</v>
      </c>
      <c r="T62" s="239">
        <v>0</v>
      </c>
      <c r="U62" s="239">
        <v>0</v>
      </c>
      <c r="V62" s="239">
        <v>0</v>
      </c>
      <c r="W62" s="239">
        <v>0</v>
      </c>
      <c r="X62" s="242">
        <v>0</v>
      </c>
      <c r="Y62" s="239">
        <v>0</v>
      </c>
      <c r="Z62" s="242">
        <v>0</v>
      </c>
      <c r="AA62" s="242">
        <v>0</v>
      </c>
      <c r="AB62" s="239">
        <v>0</v>
      </c>
      <c r="AC62" s="239">
        <v>0</v>
      </c>
      <c r="AD62" s="239">
        <v>0</v>
      </c>
      <c r="AE62" s="239">
        <v>0</v>
      </c>
      <c r="AF62" s="242">
        <v>0</v>
      </c>
      <c r="AG62" s="239">
        <v>0</v>
      </c>
      <c r="AH62" s="239">
        <v>0</v>
      </c>
      <c r="AI62" s="239">
        <v>0</v>
      </c>
      <c r="AJ62" s="242">
        <v>0</v>
      </c>
      <c r="AK62" s="242">
        <v>0</v>
      </c>
      <c r="AL62" s="239">
        <v>0</v>
      </c>
      <c r="AM62" s="239">
        <v>0</v>
      </c>
      <c r="AN62" s="239">
        <v>0</v>
      </c>
      <c r="AO62" s="242">
        <v>0</v>
      </c>
      <c r="AP62" s="242">
        <v>0</v>
      </c>
      <c r="AQ62" s="239">
        <v>23088000</v>
      </c>
      <c r="AR62" s="239">
        <v>0</v>
      </c>
      <c r="AS62" s="239">
        <v>9014000</v>
      </c>
      <c r="AT62" s="239">
        <v>0</v>
      </c>
      <c r="AU62" s="239">
        <v>0</v>
      </c>
      <c r="AV62" s="239">
        <v>0</v>
      </c>
      <c r="AW62" s="242">
        <v>32102000</v>
      </c>
      <c r="AX62" s="239">
        <v>0</v>
      </c>
      <c r="AY62" s="239">
        <v>0</v>
      </c>
      <c r="AZ62" s="239">
        <v>0</v>
      </c>
      <c r="BA62" s="239">
        <v>0</v>
      </c>
      <c r="BB62" s="239">
        <v>0</v>
      </c>
      <c r="BC62" s="242">
        <v>0</v>
      </c>
      <c r="BD62" s="242">
        <v>32102000</v>
      </c>
      <c r="BE62" s="239">
        <v>27119000</v>
      </c>
      <c r="BF62" s="239">
        <v>0</v>
      </c>
      <c r="BG62" s="239">
        <v>85000</v>
      </c>
      <c r="BH62" s="239">
        <v>0</v>
      </c>
      <c r="BI62" s="239">
        <v>0</v>
      </c>
      <c r="BJ62" s="239">
        <v>5466000</v>
      </c>
      <c r="BK62" s="239">
        <v>0</v>
      </c>
      <c r="BL62" s="242">
        <v>32670000</v>
      </c>
      <c r="BM62" s="242">
        <v>-568000</v>
      </c>
      <c r="BN62" s="239">
        <v>1702000</v>
      </c>
      <c r="BO62" s="239">
        <v>0</v>
      </c>
      <c r="BP62" s="239">
        <v>1134000</v>
      </c>
      <c r="BQ62" s="239">
        <v>0</v>
      </c>
      <c r="BR62" s="239">
        <v>0</v>
      </c>
      <c r="BS62" s="242">
        <v>1134000</v>
      </c>
    </row>
    <row r="63" spans="1:71" s="202" customFormat="1" ht="30" customHeight="1" x14ac:dyDescent="0.3">
      <c r="A63" s="238">
        <v>8644</v>
      </c>
      <c r="B63" s="238" t="s">
        <v>156</v>
      </c>
      <c r="C63" s="238" t="s">
        <v>83</v>
      </c>
      <c r="D63" s="238">
        <v>3791</v>
      </c>
      <c r="E63" s="238">
        <v>2026</v>
      </c>
      <c r="F63" s="238" t="s">
        <v>275</v>
      </c>
      <c r="G63" s="238">
        <v>2</v>
      </c>
      <c r="H63" s="238">
        <v>6</v>
      </c>
      <c r="I63" s="238" t="s">
        <v>703</v>
      </c>
      <c r="J63" s="239">
        <v>0</v>
      </c>
      <c r="K63" s="239">
        <v>0</v>
      </c>
      <c r="L63" s="239">
        <v>0</v>
      </c>
      <c r="M63" s="239">
        <v>0</v>
      </c>
      <c r="N63" s="239">
        <v>0</v>
      </c>
      <c r="O63" s="239">
        <v>0</v>
      </c>
      <c r="P63" s="239">
        <v>0</v>
      </c>
      <c r="Q63" s="242">
        <v>0</v>
      </c>
      <c r="R63" s="239">
        <v>0</v>
      </c>
      <c r="S63" s="239">
        <v>0</v>
      </c>
      <c r="T63" s="239">
        <v>0</v>
      </c>
      <c r="U63" s="239">
        <v>0</v>
      </c>
      <c r="V63" s="239">
        <v>0</v>
      </c>
      <c r="W63" s="239">
        <v>0</v>
      </c>
      <c r="X63" s="242">
        <v>0</v>
      </c>
      <c r="Y63" s="239">
        <v>0</v>
      </c>
      <c r="Z63" s="242">
        <v>0</v>
      </c>
      <c r="AA63" s="242">
        <v>0</v>
      </c>
      <c r="AB63" s="239">
        <v>0</v>
      </c>
      <c r="AC63" s="239">
        <v>0</v>
      </c>
      <c r="AD63" s="239">
        <v>0</v>
      </c>
      <c r="AE63" s="239">
        <v>0</v>
      </c>
      <c r="AF63" s="242">
        <v>0</v>
      </c>
      <c r="AG63" s="239">
        <v>0</v>
      </c>
      <c r="AH63" s="239">
        <v>0</v>
      </c>
      <c r="AI63" s="239">
        <v>0</v>
      </c>
      <c r="AJ63" s="242">
        <v>0</v>
      </c>
      <c r="AK63" s="242">
        <v>0</v>
      </c>
      <c r="AL63" s="239">
        <v>0</v>
      </c>
      <c r="AM63" s="239">
        <v>0</v>
      </c>
      <c r="AN63" s="239">
        <v>0</v>
      </c>
      <c r="AO63" s="242">
        <v>0</v>
      </c>
      <c r="AP63" s="242">
        <v>0</v>
      </c>
      <c r="AQ63" s="239">
        <v>69404000</v>
      </c>
      <c r="AR63" s="239">
        <v>0</v>
      </c>
      <c r="AS63" s="239">
        <v>21079000</v>
      </c>
      <c r="AT63" s="239">
        <v>0</v>
      </c>
      <c r="AU63" s="239">
        <v>0</v>
      </c>
      <c r="AV63" s="239">
        <v>0</v>
      </c>
      <c r="AW63" s="242">
        <v>90483000</v>
      </c>
      <c r="AX63" s="239">
        <v>69000</v>
      </c>
      <c r="AY63" s="239">
        <v>0</v>
      </c>
      <c r="AZ63" s="239">
        <v>0</v>
      </c>
      <c r="BA63" s="239">
        <v>0</v>
      </c>
      <c r="BB63" s="239">
        <v>0</v>
      </c>
      <c r="BC63" s="242">
        <v>69000</v>
      </c>
      <c r="BD63" s="242">
        <v>90552000</v>
      </c>
      <c r="BE63" s="239">
        <v>73623000</v>
      </c>
      <c r="BF63" s="239">
        <v>0</v>
      </c>
      <c r="BG63" s="239">
        <v>1049000</v>
      </c>
      <c r="BH63" s="239">
        <v>0</v>
      </c>
      <c r="BI63" s="239">
        <v>0</v>
      </c>
      <c r="BJ63" s="239">
        <v>21152000</v>
      </c>
      <c r="BK63" s="239">
        <v>0</v>
      </c>
      <c r="BL63" s="242">
        <v>95824000</v>
      </c>
      <c r="BM63" s="242">
        <v>-5272000</v>
      </c>
      <c r="BN63" s="239">
        <v>17297000</v>
      </c>
      <c r="BO63" s="239">
        <v>0</v>
      </c>
      <c r="BP63" s="239">
        <v>12025000</v>
      </c>
      <c r="BQ63" s="239">
        <v>0</v>
      </c>
      <c r="BR63" s="239">
        <v>0</v>
      </c>
      <c r="BS63" s="242">
        <v>12025000</v>
      </c>
    </row>
    <row r="64" spans="1:71" s="164" customFormat="1" ht="30" customHeight="1" x14ac:dyDescent="0.3">
      <c r="A64" s="233">
        <v>8655</v>
      </c>
      <c r="B64" s="233" t="s">
        <v>109</v>
      </c>
      <c r="C64" s="233" t="s">
        <v>83</v>
      </c>
      <c r="D64" s="233">
        <v>16665</v>
      </c>
      <c r="E64" s="233">
        <v>2026</v>
      </c>
      <c r="F64" s="233" t="s">
        <v>275</v>
      </c>
      <c r="G64" s="233">
        <v>2</v>
      </c>
      <c r="H64" s="233">
        <v>6</v>
      </c>
      <c r="I64" s="233" t="s">
        <v>703</v>
      </c>
      <c r="J64" s="234">
        <v>0</v>
      </c>
      <c r="K64" s="234">
        <v>0</v>
      </c>
      <c r="L64" s="234">
        <v>0</v>
      </c>
      <c r="M64" s="234">
        <v>0</v>
      </c>
      <c r="N64" s="234">
        <v>0</v>
      </c>
      <c r="O64" s="234">
        <v>0</v>
      </c>
      <c r="P64" s="234">
        <v>0</v>
      </c>
      <c r="Q64" s="242">
        <v>0</v>
      </c>
      <c r="R64" s="234">
        <v>0</v>
      </c>
      <c r="S64" s="234">
        <v>0</v>
      </c>
      <c r="T64" s="234">
        <v>0</v>
      </c>
      <c r="U64" s="234">
        <v>0</v>
      </c>
      <c r="V64" s="234">
        <v>0</v>
      </c>
      <c r="W64" s="234">
        <v>0</v>
      </c>
      <c r="X64" s="242">
        <v>0</v>
      </c>
      <c r="Y64" s="234">
        <v>0</v>
      </c>
      <c r="Z64" s="242">
        <v>0</v>
      </c>
      <c r="AA64" s="242">
        <v>0</v>
      </c>
      <c r="AB64" s="234">
        <v>0</v>
      </c>
      <c r="AC64" s="234">
        <v>0</v>
      </c>
      <c r="AD64" s="234">
        <v>0</v>
      </c>
      <c r="AE64" s="234">
        <v>0</v>
      </c>
      <c r="AF64" s="242">
        <v>0</v>
      </c>
      <c r="AG64" s="234">
        <v>0</v>
      </c>
      <c r="AH64" s="234">
        <v>0</v>
      </c>
      <c r="AI64" s="234">
        <v>0</v>
      </c>
      <c r="AJ64" s="242">
        <v>0</v>
      </c>
      <c r="AK64" s="242">
        <v>0</v>
      </c>
      <c r="AL64" s="234">
        <v>0</v>
      </c>
      <c r="AM64" s="234">
        <v>0</v>
      </c>
      <c r="AN64" s="234">
        <v>0</v>
      </c>
      <c r="AO64" s="242">
        <v>0</v>
      </c>
      <c r="AP64" s="242">
        <v>0</v>
      </c>
      <c r="AQ64" s="234">
        <v>5430000</v>
      </c>
      <c r="AR64" s="234">
        <v>0</v>
      </c>
      <c r="AS64" s="234">
        <v>309000</v>
      </c>
      <c r="AT64" s="234">
        <v>0</v>
      </c>
      <c r="AU64" s="234">
        <v>0</v>
      </c>
      <c r="AV64" s="234">
        <v>0</v>
      </c>
      <c r="AW64" s="242">
        <v>5739000</v>
      </c>
      <c r="AX64" s="234">
        <v>0</v>
      </c>
      <c r="AY64" s="234">
        <v>0</v>
      </c>
      <c r="AZ64" s="234">
        <v>0</v>
      </c>
      <c r="BA64" s="234">
        <v>0</v>
      </c>
      <c r="BB64" s="234">
        <v>0</v>
      </c>
      <c r="BC64" s="242">
        <v>0</v>
      </c>
      <c r="BD64" s="242">
        <v>5739000</v>
      </c>
      <c r="BE64" s="234">
        <v>9492000</v>
      </c>
      <c r="BF64" s="234">
        <v>0</v>
      </c>
      <c r="BG64" s="234">
        <v>44000</v>
      </c>
      <c r="BH64" s="234">
        <v>0</v>
      </c>
      <c r="BI64" s="234">
        <v>0</v>
      </c>
      <c r="BJ64" s="234">
        <v>640000</v>
      </c>
      <c r="BK64" s="234">
        <v>0</v>
      </c>
      <c r="BL64" s="242">
        <v>10176000</v>
      </c>
      <c r="BM64" s="242">
        <v>-4437000</v>
      </c>
      <c r="BN64" s="234">
        <v>0</v>
      </c>
      <c r="BO64" s="234">
        <v>0</v>
      </c>
      <c r="BP64" s="234">
        <v>-4437000</v>
      </c>
      <c r="BQ64" s="234">
        <v>0</v>
      </c>
      <c r="BR64" s="234">
        <v>0</v>
      </c>
      <c r="BS64" s="242">
        <v>-4437000</v>
      </c>
    </row>
    <row r="65" spans="1:71" s="202" customFormat="1" ht="30" customHeight="1" x14ac:dyDescent="0.3">
      <c r="A65" s="233">
        <v>8701</v>
      </c>
      <c r="B65" s="233" t="s">
        <v>692</v>
      </c>
      <c r="C65" s="233" t="s">
        <v>77</v>
      </c>
      <c r="D65" s="233">
        <v>14287</v>
      </c>
      <c r="E65" s="233">
        <v>2026</v>
      </c>
      <c r="F65" s="233" t="s">
        <v>275</v>
      </c>
      <c r="G65" s="233">
        <v>2</v>
      </c>
      <c r="H65" s="233">
        <v>6</v>
      </c>
      <c r="I65" s="233" t="s">
        <v>703</v>
      </c>
      <c r="J65" s="234">
        <v>11802069</v>
      </c>
      <c r="K65" s="234">
        <v>0</v>
      </c>
      <c r="L65" s="234">
        <v>0</v>
      </c>
      <c r="M65" s="234">
        <v>37351991</v>
      </c>
      <c r="N65" s="234">
        <v>0</v>
      </c>
      <c r="O65" s="234">
        <v>0</v>
      </c>
      <c r="P65" s="234">
        <v>21155272</v>
      </c>
      <c r="Q65" s="242">
        <v>70309332</v>
      </c>
      <c r="R65" s="234">
        <v>0</v>
      </c>
      <c r="S65" s="234">
        <v>0</v>
      </c>
      <c r="T65" s="234">
        <v>0</v>
      </c>
      <c r="U65" s="234">
        <v>0</v>
      </c>
      <c r="V65" s="234">
        <v>157573852</v>
      </c>
      <c r="W65" s="234">
        <v>9337873</v>
      </c>
      <c r="X65" s="242">
        <v>148235979</v>
      </c>
      <c r="Y65" s="234">
        <v>22167601</v>
      </c>
      <c r="Z65" s="242">
        <v>170403580</v>
      </c>
      <c r="AA65" s="242">
        <v>240712912</v>
      </c>
      <c r="AB65" s="234">
        <v>179746</v>
      </c>
      <c r="AC65" s="234">
        <v>0</v>
      </c>
      <c r="AD65" s="234">
        <v>120970325</v>
      </c>
      <c r="AE65" s="234">
        <v>39598968</v>
      </c>
      <c r="AF65" s="242">
        <v>160749039</v>
      </c>
      <c r="AG65" s="234">
        <v>8271909</v>
      </c>
      <c r="AH65" s="234">
        <v>0</v>
      </c>
      <c r="AI65" s="234">
        <v>4441388</v>
      </c>
      <c r="AJ65" s="242">
        <v>12713297</v>
      </c>
      <c r="AK65" s="242">
        <v>173462336</v>
      </c>
      <c r="AL65" s="234">
        <v>67250576</v>
      </c>
      <c r="AM65" s="234">
        <v>0</v>
      </c>
      <c r="AN65" s="234">
        <v>0</v>
      </c>
      <c r="AO65" s="242">
        <v>67250576</v>
      </c>
      <c r="AP65" s="242">
        <v>240712912</v>
      </c>
      <c r="AQ65" s="234">
        <v>138566715</v>
      </c>
      <c r="AR65" s="234">
        <v>0</v>
      </c>
      <c r="AS65" s="234">
        <v>6631885</v>
      </c>
      <c r="AT65" s="234">
        <v>0</v>
      </c>
      <c r="AU65" s="234">
        <v>0</v>
      </c>
      <c r="AV65" s="234">
        <v>0</v>
      </c>
      <c r="AW65" s="242">
        <v>145198600</v>
      </c>
      <c r="AX65" s="234">
        <v>89502</v>
      </c>
      <c r="AY65" s="234">
        <v>17</v>
      </c>
      <c r="AZ65" s="234">
        <v>0</v>
      </c>
      <c r="BA65" s="234">
        <v>0</v>
      </c>
      <c r="BB65" s="234">
        <v>0</v>
      </c>
      <c r="BC65" s="242">
        <v>89519</v>
      </c>
      <c r="BD65" s="242">
        <v>145288119</v>
      </c>
      <c r="BE65" s="234">
        <v>77484917</v>
      </c>
      <c r="BF65" s="234">
        <v>0</v>
      </c>
      <c r="BG65" s="234">
        <v>4528175</v>
      </c>
      <c r="BH65" s="234">
        <v>462312</v>
      </c>
      <c r="BI65" s="234">
        <v>11565152</v>
      </c>
      <c r="BJ65" s="234">
        <v>84327758</v>
      </c>
      <c r="BK65" s="234">
        <v>0</v>
      </c>
      <c r="BL65" s="242">
        <v>178368314</v>
      </c>
      <c r="BM65" s="242">
        <v>-33080195</v>
      </c>
      <c r="BN65" s="234">
        <v>0</v>
      </c>
      <c r="BO65" s="234">
        <v>0</v>
      </c>
      <c r="BP65" s="234">
        <v>-33080195</v>
      </c>
      <c r="BQ65" s="234">
        <v>0</v>
      </c>
      <c r="BR65" s="234">
        <v>0</v>
      </c>
      <c r="BS65" s="242">
        <v>-33080195</v>
      </c>
    </row>
    <row r="66" spans="1:71" s="164" customFormat="1" ht="30" customHeight="1" x14ac:dyDescent="0.3">
      <c r="A66" s="238">
        <v>8702</v>
      </c>
      <c r="B66" s="238" t="s">
        <v>95</v>
      </c>
      <c r="C66" s="238" t="s">
        <v>77</v>
      </c>
      <c r="D66" s="238">
        <v>16665</v>
      </c>
      <c r="E66" s="238">
        <v>2026</v>
      </c>
      <c r="F66" s="238" t="s">
        <v>275</v>
      </c>
      <c r="G66" s="238">
        <v>2</v>
      </c>
      <c r="H66" s="238">
        <v>6</v>
      </c>
      <c r="I66" s="238" t="s">
        <v>703</v>
      </c>
      <c r="J66" s="239">
        <v>66000</v>
      </c>
      <c r="K66" s="239">
        <v>804070000</v>
      </c>
      <c r="L66" s="239">
        <v>0</v>
      </c>
      <c r="M66" s="239">
        <v>270869000</v>
      </c>
      <c r="N66" s="239">
        <v>710303000</v>
      </c>
      <c r="O66" s="239">
        <v>0</v>
      </c>
      <c r="P66" s="239">
        <v>149893000</v>
      </c>
      <c r="Q66" s="242">
        <v>1935201000</v>
      </c>
      <c r="R66" s="239">
        <v>1154979000</v>
      </c>
      <c r="S66" s="239">
        <v>35567000</v>
      </c>
      <c r="T66" s="239">
        <v>0</v>
      </c>
      <c r="U66" s="239">
        <v>0</v>
      </c>
      <c r="V66" s="239">
        <v>3666311000</v>
      </c>
      <c r="W66" s="239">
        <v>2487238000</v>
      </c>
      <c r="X66" s="242">
        <v>1179073000</v>
      </c>
      <c r="Y66" s="239">
        <v>402077000</v>
      </c>
      <c r="Z66" s="242">
        <v>2771696000</v>
      </c>
      <c r="AA66" s="242">
        <v>4706897000</v>
      </c>
      <c r="AB66" s="239">
        <v>10810000</v>
      </c>
      <c r="AC66" s="239">
        <v>-14328000</v>
      </c>
      <c r="AD66" s="239">
        <v>0</v>
      </c>
      <c r="AE66" s="239">
        <v>407992000</v>
      </c>
      <c r="AF66" s="242">
        <v>404474000</v>
      </c>
      <c r="AG66" s="239">
        <v>1820738000</v>
      </c>
      <c r="AH66" s="239">
        <v>0</v>
      </c>
      <c r="AI66" s="239">
        <v>480147000</v>
      </c>
      <c r="AJ66" s="242">
        <v>2300885000</v>
      </c>
      <c r="AK66" s="242">
        <v>2705359000</v>
      </c>
      <c r="AL66" s="239">
        <v>1521468000</v>
      </c>
      <c r="AM66" s="239">
        <v>365318000</v>
      </c>
      <c r="AN66" s="239">
        <v>114752000</v>
      </c>
      <c r="AO66" s="242">
        <v>2001538000</v>
      </c>
      <c r="AP66" s="242">
        <v>4706897000</v>
      </c>
      <c r="AQ66" s="239">
        <v>1269716000</v>
      </c>
      <c r="AR66" s="239">
        <v>0</v>
      </c>
      <c r="AS66" s="239">
        <v>623783000</v>
      </c>
      <c r="AT66" s="239">
        <v>0</v>
      </c>
      <c r="AU66" s="239">
        <v>0</v>
      </c>
      <c r="AV66" s="239">
        <v>0</v>
      </c>
      <c r="AW66" s="242">
        <v>1893499000</v>
      </c>
      <c r="AX66" s="239">
        <v>19888000</v>
      </c>
      <c r="AY66" s="239">
        <v>0</v>
      </c>
      <c r="AZ66" s="239">
        <v>29947000</v>
      </c>
      <c r="BA66" s="239">
        <v>-6386000</v>
      </c>
      <c r="BB66" s="239">
        <v>0</v>
      </c>
      <c r="BC66" s="242">
        <v>43449000</v>
      </c>
      <c r="BD66" s="242">
        <v>1936948000</v>
      </c>
      <c r="BE66" s="239">
        <v>543848000</v>
      </c>
      <c r="BF66" s="239">
        <v>0</v>
      </c>
      <c r="BG66" s="239">
        <v>53008000</v>
      </c>
      <c r="BH66" s="239">
        <v>21485000</v>
      </c>
      <c r="BI66" s="239">
        <v>18907000</v>
      </c>
      <c r="BJ66" s="239">
        <v>1149496000</v>
      </c>
      <c r="BK66" s="239">
        <v>0</v>
      </c>
      <c r="BL66" s="242">
        <v>1786744000</v>
      </c>
      <c r="BM66" s="242">
        <v>150204000</v>
      </c>
      <c r="BN66" s="239">
        <v>-32923000</v>
      </c>
      <c r="BO66" s="239">
        <v>31000</v>
      </c>
      <c r="BP66" s="239">
        <v>117312000</v>
      </c>
      <c r="BQ66" s="239">
        <v>0</v>
      </c>
      <c r="BR66" s="239">
        <v>0</v>
      </c>
      <c r="BS66" s="242">
        <v>117312000</v>
      </c>
    </row>
    <row r="67" spans="1:71" s="202" customFormat="1" ht="30" customHeight="1" x14ac:dyDescent="0.3">
      <c r="A67" s="233">
        <v>8745</v>
      </c>
      <c r="B67" s="233" t="s">
        <v>158</v>
      </c>
      <c r="C67" s="233" t="s">
        <v>83</v>
      </c>
      <c r="D67" s="233">
        <v>3791</v>
      </c>
      <c r="E67" s="233">
        <v>2026</v>
      </c>
      <c r="F67" s="233" t="s">
        <v>275</v>
      </c>
      <c r="G67" s="233">
        <v>2</v>
      </c>
      <c r="H67" s="233">
        <v>6</v>
      </c>
      <c r="I67" s="233" t="s">
        <v>703</v>
      </c>
      <c r="J67" s="234">
        <v>0</v>
      </c>
      <c r="K67" s="234">
        <v>0</v>
      </c>
      <c r="L67" s="234">
        <v>0</v>
      </c>
      <c r="M67" s="234">
        <v>0</v>
      </c>
      <c r="N67" s="234">
        <v>0</v>
      </c>
      <c r="O67" s="234">
        <v>0</v>
      </c>
      <c r="P67" s="234">
        <v>0</v>
      </c>
      <c r="Q67" s="242">
        <v>0</v>
      </c>
      <c r="R67" s="234">
        <v>0</v>
      </c>
      <c r="S67" s="234">
        <v>0</v>
      </c>
      <c r="T67" s="234">
        <v>0</v>
      </c>
      <c r="U67" s="234">
        <v>0</v>
      </c>
      <c r="V67" s="234">
        <v>0</v>
      </c>
      <c r="W67" s="234">
        <v>0</v>
      </c>
      <c r="X67" s="242">
        <v>0</v>
      </c>
      <c r="Y67" s="234">
        <v>0</v>
      </c>
      <c r="Z67" s="242">
        <v>0</v>
      </c>
      <c r="AA67" s="242">
        <v>0</v>
      </c>
      <c r="AB67" s="234">
        <v>0</v>
      </c>
      <c r="AC67" s="234">
        <v>0</v>
      </c>
      <c r="AD67" s="234">
        <v>0</v>
      </c>
      <c r="AE67" s="234">
        <v>0</v>
      </c>
      <c r="AF67" s="242">
        <v>0</v>
      </c>
      <c r="AG67" s="234">
        <v>0</v>
      </c>
      <c r="AH67" s="234">
        <v>0</v>
      </c>
      <c r="AI67" s="234">
        <v>0</v>
      </c>
      <c r="AJ67" s="242">
        <v>0</v>
      </c>
      <c r="AK67" s="242">
        <v>0</v>
      </c>
      <c r="AL67" s="234">
        <v>0</v>
      </c>
      <c r="AM67" s="234">
        <v>0</v>
      </c>
      <c r="AN67" s="234">
        <v>0</v>
      </c>
      <c r="AO67" s="242">
        <v>0</v>
      </c>
      <c r="AP67" s="242">
        <v>0</v>
      </c>
      <c r="AQ67" s="234">
        <v>85116000</v>
      </c>
      <c r="AR67" s="234">
        <v>0</v>
      </c>
      <c r="AS67" s="234">
        <v>20947000</v>
      </c>
      <c r="AT67" s="234">
        <v>0</v>
      </c>
      <c r="AU67" s="234">
        <v>0</v>
      </c>
      <c r="AV67" s="234">
        <v>0</v>
      </c>
      <c r="AW67" s="242">
        <v>106063000</v>
      </c>
      <c r="AX67" s="234">
        <v>891000</v>
      </c>
      <c r="AY67" s="234">
        <v>0</v>
      </c>
      <c r="AZ67" s="234">
        <v>6000</v>
      </c>
      <c r="BA67" s="234">
        <v>0</v>
      </c>
      <c r="BB67" s="234">
        <v>0</v>
      </c>
      <c r="BC67" s="242">
        <v>897000</v>
      </c>
      <c r="BD67" s="242">
        <v>106960000</v>
      </c>
      <c r="BE67" s="234">
        <v>42263000</v>
      </c>
      <c r="BF67" s="234">
        <v>0</v>
      </c>
      <c r="BG67" s="234">
        <v>685000</v>
      </c>
      <c r="BH67" s="234">
        <v>17000</v>
      </c>
      <c r="BI67" s="234">
        <v>0</v>
      </c>
      <c r="BJ67" s="234">
        <v>83505000</v>
      </c>
      <c r="BK67" s="234">
        <v>0</v>
      </c>
      <c r="BL67" s="242">
        <v>126470000</v>
      </c>
      <c r="BM67" s="242">
        <v>-19510000</v>
      </c>
      <c r="BN67" s="234">
        <v>207000</v>
      </c>
      <c r="BO67" s="234">
        <v>0</v>
      </c>
      <c r="BP67" s="234">
        <v>-19303000</v>
      </c>
      <c r="BQ67" s="234">
        <v>0</v>
      </c>
      <c r="BR67" s="234">
        <v>0</v>
      </c>
      <c r="BS67" s="242">
        <v>-19303000</v>
      </c>
    </row>
    <row r="68" spans="1:71" s="164" customFormat="1" ht="30" customHeight="1" x14ac:dyDescent="0.3">
      <c r="A68" s="238">
        <v>8750</v>
      </c>
      <c r="B68" s="238" t="s">
        <v>161</v>
      </c>
      <c r="C68" s="238" t="s">
        <v>83</v>
      </c>
      <c r="D68" s="238">
        <v>6755</v>
      </c>
      <c r="E68" s="238">
        <v>2026</v>
      </c>
      <c r="F68" s="238" t="s">
        <v>275</v>
      </c>
      <c r="G68" s="238">
        <v>2</v>
      </c>
      <c r="H68" s="238">
        <v>6</v>
      </c>
      <c r="I68" s="238" t="s">
        <v>703</v>
      </c>
      <c r="J68" s="239">
        <v>0</v>
      </c>
      <c r="K68" s="239">
        <v>0</v>
      </c>
      <c r="L68" s="239">
        <v>0</v>
      </c>
      <c r="M68" s="239">
        <v>0</v>
      </c>
      <c r="N68" s="239">
        <v>0</v>
      </c>
      <c r="O68" s="239">
        <v>0</v>
      </c>
      <c r="P68" s="239">
        <v>0</v>
      </c>
      <c r="Q68" s="242">
        <v>0</v>
      </c>
      <c r="R68" s="239">
        <v>0</v>
      </c>
      <c r="S68" s="239">
        <v>0</v>
      </c>
      <c r="T68" s="239">
        <v>0</v>
      </c>
      <c r="U68" s="239">
        <v>0</v>
      </c>
      <c r="V68" s="239">
        <v>0</v>
      </c>
      <c r="W68" s="239">
        <v>0</v>
      </c>
      <c r="X68" s="242">
        <v>0</v>
      </c>
      <c r="Y68" s="239">
        <v>0</v>
      </c>
      <c r="Z68" s="242">
        <v>0</v>
      </c>
      <c r="AA68" s="242">
        <v>0</v>
      </c>
      <c r="AB68" s="239">
        <v>0</v>
      </c>
      <c r="AC68" s="239">
        <v>0</v>
      </c>
      <c r="AD68" s="239">
        <v>0</v>
      </c>
      <c r="AE68" s="239">
        <v>0</v>
      </c>
      <c r="AF68" s="242">
        <v>0</v>
      </c>
      <c r="AG68" s="239">
        <v>0</v>
      </c>
      <c r="AH68" s="239">
        <v>0</v>
      </c>
      <c r="AI68" s="239">
        <v>0</v>
      </c>
      <c r="AJ68" s="242">
        <v>0</v>
      </c>
      <c r="AK68" s="242">
        <v>0</v>
      </c>
      <c r="AL68" s="239">
        <v>0</v>
      </c>
      <c r="AM68" s="239">
        <v>0</v>
      </c>
      <c r="AN68" s="239">
        <v>0</v>
      </c>
      <c r="AO68" s="242">
        <v>0</v>
      </c>
      <c r="AP68" s="242">
        <v>0</v>
      </c>
      <c r="AQ68" s="239">
        <v>26312000</v>
      </c>
      <c r="AR68" s="239">
        <v>0</v>
      </c>
      <c r="AS68" s="239">
        <v>4042000</v>
      </c>
      <c r="AT68" s="239">
        <v>0</v>
      </c>
      <c r="AU68" s="239">
        <v>0</v>
      </c>
      <c r="AV68" s="239">
        <v>0</v>
      </c>
      <c r="AW68" s="242">
        <v>30354000</v>
      </c>
      <c r="AX68" s="239">
        <v>0</v>
      </c>
      <c r="AY68" s="239">
        <v>0</v>
      </c>
      <c r="AZ68" s="239"/>
      <c r="BA68" s="239">
        <v>0</v>
      </c>
      <c r="BB68" s="239">
        <v>0</v>
      </c>
      <c r="BC68" s="242">
        <v>0</v>
      </c>
      <c r="BD68" s="242">
        <v>30354000</v>
      </c>
      <c r="BE68" s="239">
        <v>21796000</v>
      </c>
      <c r="BF68" s="239">
        <v>0</v>
      </c>
      <c r="BG68" s="239">
        <v>367000</v>
      </c>
      <c r="BH68" s="239">
        <v>150000</v>
      </c>
      <c r="BI68" s="239">
        <v>0</v>
      </c>
      <c r="BJ68" s="239">
        <v>9554000</v>
      </c>
      <c r="BK68" s="239">
        <v>0</v>
      </c>
      <c r="BL68" s="242">
        <v>31867000</v>
      </c>
      <c r="BM68" s="242">
        <v>-1513000</v>
      </c>
      <c r="BN68" s="239">
        <v>0</v>
      </c>
      <c r="BO68" s="239">
        <v>0</v>
      </c>
      <c r="BP68" s="239">
        <v>-1513000</v>
      </c>
      <c r="BQ68" s="239">
        <v>0</v>
      </c>
      <c r="BR68" s="239">
        <v>0</v>
      </c>
      <c r="BS68" s="242">
        <v>-1513000</v>
      </c>
    </row>
    <row r="69" spans="1:71" s="202" customFormat="1" ht="30" customHeight="1" x14ac:dyDescent="0.3">
      <c r="A69" s="238">
        <v>9323</v>
      </c>
      <c r="B69" s="238" t="s">
        <v>152</v>
      </c>
      <c r="C69" s="238" t="s">
        <v>83</v>
      </c>
      <c r="D69" s="238">
        <v>3791</v>
      </c>
      <c r="E69" s="238">
        <v>2026</v>
      </c>
      <c r="F69" s="238" t="s">
        <v>275</v>
      </c>
      <c r="G69" s="238">
        <v>2</v>
      </c>
      <c r="H69" s="238">
        <v>6</v>
      </c>
      <c r="I69" s="238" t="s">
        <v>703</v>
      </c>
      <c r="J69" s="239">
        <v>0</v>
      </c>
      <c r="K69" s="239">
        <v>0</v>
      </c>
      <c r="L69" s="239">
        <v>0</v>
      </c>
      <c r="M69" s="239">
        <v>0</v>
      </c>
      <c r="N69" s="239">
        <v>0</v>
      </c>
      <c r="O69" s="239">
        <v>0</v>
      </c>
      <c r="P69" s="239">
        <v>0</v>
      </c>
      <c r="Q69" s="242">
        <v>0</v>
      </c>
      <c r="R69" s="239">
        <v>0</v>
      </c>
      <c r="S69" s="239">
        <v>0</v>
      </c>
      <c r="T69" s="239">
        <v>0</v>
      </c>
      <c r="U69" s="239">
        <v>0</v>
      </c>
      <c r="V69" s="239">
        <v>0</v>
      </c>
      <c r="W69" s="239">
        <v>0</v>
      </c>
      <c r="X69" s="242">
        <v>0</v>
      </c>
      <c r="Y69" s="239">
        <v>0</v>
      </c>
      <c r="Z69" s="242">
        <v>0</v>
      </c>
      <c r="AA69" s="242">
        <v>0</v>
      </c>
      <c r="AB69" s="239">
        <v>0</v>
      </c>
      <c r="AC69" s="239">
        <v>0</v>
      </c>
      <c r="AD69" s="239">
        <v>0</v>
      </c>
      <c r="AE69" s="239">
        <v>0</v>
      </c>
      <c r="AF69" s="242">
        <v>0</v>
      </c>
      <c r="AG69" s="239">
        <v>0</v>
      </c>
      <c r="AH69" s="239">
        <v>0</v>
      </c>
      <c r="AI69" s="239">
        <v>0</v>
      </c>
      <c r="AJ69" s="242">
        <v>0</v>
      </c>
      <c r="AK69" s="242">
        <v>0</v>
      </c>
      <c r="AL69" s="239">
        <v>0</v>
      </c>
      <c r="AM69" s="239">
        <v>0</v>
      </c>
      <c r="AN69" s="239">
        <v>0</v>
      </c>
      <c r="AO69" s="242">
        <v>0</v>
      </c>
      <c r="AP69" s="242">
        <v>0</v>
      </c>
      <c r="AQ69" s="239">
        <v>36779000</v>
      </c>
      <c r="AR69" s="239">
        <v>0</v>
      </c>
      <c r="AS69" s="239">
        <v>11203000</v>
      </c>
      <c r="AT69" s="239">
        <v>0</v>
      </c>
      <c r="AU69" s="239">
        <v>0</v>
      </c>
      <c r="AV69" s="239">
        <v>0</v>
      </c>
      <c r="AW69" s="242">
        <v>47982000</v>
      </c>
      <c r="AX69" s="239">
        <v>0</v>
      </c>
      <c r="AY69" s="239">
        <v>0</v>
      </c>
      <c r="AZ69" s="239">
        <v>0</v>
      </c>
      <c r="BA69" s="239">
        <v>0</v>
      </c>
      <c r="BB69" s="239">
        <v>0</v>
      </c>
      <c r="BC69" s="242">
        <v>0</v>
      </c>
      <c r="BD69" s="242">
        <v>47982000</v>
      </c>
      <c r="BE69" s="239">
        <v>50305000</v>
      </c>
      <c r="BF69" s="239">
        <v>0</v>
      </c>
      <c r="BG69" s="239">
        <v>139000</v>
      </c>
      <c r="BH69" s="239">
        <v>0</v>
      </c>
      <c r="BI69" s="239">
        <v>0</v>
      </c>
      <c r="BJ69" s="239">
        <v>13755000</v>
      </c>
      <c r="BK69" s="239">
        <v>0</v>
      </c>
      <c r="BL69" s="242">
        <v>64199000</v>
      </c>
      <c r="BM69" s="242">
        <v>-16217000</v>
      </c>
      <c r="BN69" s="239">
        <v>27174000</v>
      </c>
      <c r="BO69" s="239">
        <v>0</v>
      </c>
      <c r="BP69" s="239">
        <v>10957000</v>
      </c>
      <c r="BQ69" s="239">
        <v>0</v>
      </c>
      <c r="BR69" s="239">
        <v>0</v>
      </c>
      <c r="BS69" s="242">
        <v>10957000</v>
      </c>
    </row>
    <row r="70" spans="1:71" s="164" customFormat="1" ht="30" customHeight="1" x14ac:dyDescent="0.3">
      <c r="A70" s="238">
        <v>9784</v>
      </c>
      <c r="B70" s="238" t="s">
        <v>202</v>
      </c>
      <c r="C70" s="238" t="s">
        <v>83</v>
      </c>
      <c r="D70" s="238">
        <v>6755</v>
      </c>
      <c r="E70" s="238">
        <v>2026</v>
      </c>
      <c r="F70" s="238" t="s">
        <v>275</v>
      </c>
      <c r="G70" s="238">
        <v>2</v>
      </c>
      <c r="H70" s="238">
        <v>6</v>
      </c>
      <c r="I70" s="238" t="s">
        <v>703</v>
      </c>
      <c r="J70" s="239">
        <v>0</v>
      </c>
      <c r="K70" s="239">
        <v>0</v>
      </c>
      <c r="L70" s="239">
        <v>0</v>
      </c>
      <c r="M70" s="239">
        <v>0</v>
      </c>
      <c r="N70" s="239">
        <v>0</v>
      </c>
      <c r="O70" s="239">
        <v>0</v>
      </c>
      <c r="P70" s="239">
        <v>0</v>
      </c>
      <c r="Q70" s="242">
        <v>0</v>
      </c>
      <c r="R70" s="239">
        <v>0</v>
      </c>
      <c r="S70" s="239">
        <v>0</v>
      </c>
      <c r="T70" s="239">
        <v>0</v>
      </c>
      <c r="U70" s="239">
        <v>0</v>
      </c>
      <c r="V70" s="239">
        <v>0</v>
      </c>
      <c r="W70" s="239">
        <v>0</v>
      </c>
      <c r="X70" s="242">
        <v>0</v>
      </c>
      <c r="Y70" s="239">
        <v>0</v>
      </c>
      <c r="Z70" s="242">
        <v>0</v>
      </c>
      <c r="AA70" s="242">
        <v>0</v>
      </c>
      <c r="AB70" s="239">
        <v>0</v>
      </c>
      <c r="AC70" s="239">
        <v>0</v>
      </c>
      <c r="AD70" s="239">
        <v>0</v>
      </c>
      <c r="AE70" s="239">
        <v>0</v>
      </c>
      <c r="AF70" s="242">
        <v>0</v>
      </c>
      <c r="AG70" s="239">
        <v>0</v>
      </c>
      <c r="AH70" s="239">
        <v>0</v>
      </c>
      <c r="AI70" s="239">
        <v>0</v>
      </c>
      <c r="AJ70" s="242">
        <v>0</v>
      </c>
      <c r="AK70" s="242">
        <v>0</v>
      </c>
      <c r="AL70" s="239">
        <v>0</v>
      </c>
      <c r="AM70" s="239">
        <v>0</v>
      </c>
      <c r="AN70" s="239">
        <v>0</v>
      </c>
      <c r="AO70" s="242">
        <v>0</v>
      </c>
      <c r="AP70" s="242">
        <v>0</v>
      </c>
      <c r="AQ70" s="239">
        <v>333852000</v>
      </c>
      <c r="AR70" s="239">
        <v>0</v>
      </c>
      <c r="AS70" s="239">
        <v>141066000</v>
      </c>
      <c r="AT70" s="239">
        <v>0</v>
      </c>
      <c r="AU70" s="239">
        <v>0</v>
      </c>
      <c r="AV70" s="239">
        <v>383000</v>
      </c>
      <c r="AW70" s="242">
        <v>475301000</v>
      </c>
      <c r="AX70" s="239">
        <v>1000</v>
      </c>
      <c r="AY70" s="239">
        <v>72000</v>
      </c>
      <c r="AZ70" s="239"/>
      <c r="BA70" s="239">
        <v>1072000</v>
      </c>
      <c r="BB70" s="239">
        <v>0</v>
      </c>
      <c r="BC70" s="242">
        <v>1145000</v>
      </c>
      <c r="BD70" s="242">
        <v>476446000</v>
      </c>
      <c r="BE70" s="239">
        <v>389512000</v>
      </c>
      <c r="BF70" s="239">
        <v>0</v>
      </c>
      <c r="BG70" s="239">
        <v>1781000</v>
      </c>
      <c r="BH70" s="239">
        <v>116000</v>
      </c>
      <c r="BI70" s="239">
        <v>0</v>
      </c>
      <c r="BJ70" s="239">
        <v>120058000</v>
      </c>
      <c r="BK70" s="239">
        <v>0</v>
      </c>
      <c r="BL70" s="242">
        <v>511467000</v>
      </c>
      <c r="BM70" s="242">
        <v>-35021000</v>
      </c>
      <c r="BN70" s="239">
        <v>15405000</v>
      </c>
      <c r="BO70" s="239">
        <v>-93000</v>
      </c>
      <c r="BP70" s="239">
        <v>-19709000</v>
      </c>
      <c r="BQ70" s="239">
        <v>0</v>
      </c>
      <c r="BR70" s="239">
        <v>0</v>
      </c>
      <c r="BS70" s="242">
        <v>-19709000</v>
      </c>
    </row>
    <row r="71" spans="1:71" s="202" customFormat="1" ht="30" customHeight="1" x14ac:dyDescent="0.3">
      <c r="A71" s="238">
        <v>9914</v>
      </c>
      <c r="B71" s="238" t="s">
        <v>104</v>
      </c>
      <c r="C71" s="238" t="s">
        <v>83</v>
      </c>
      <c r="D71" s="238">
        <v>16665</v>
      </c>
      <c r="E71" s="238">
        <v>2026</v>
      </c>
      <c r="F71" s="238" t="s">
        <v>275</v>
      </c>
      <c r="G71" s="238">
        <v>2</v>
      </c>
      <c r="H71" s="238">
        <v>6</v>
      </c>
      <c r="I71" s="238" t="s">
        <v>703</v>
      </c>
      <c r="J71" s="239">
        <v>0</v>
      </c>
      <c r="K71" s="239">
        <v>0</v>
      </c>
      <c r="L71" s="239">
        <v>0</v>
      </c>
      <c r="M71" s="239">
        <v>0</v>
      </c>
      <c r="N71" s="239">
        <v>0</v>
      </c>
      <c r="O71" s="239">
        <v>0</v>
      </c>
      <c r="P71" s="239">
        <v>0</v>
      </c>
      <c r="Q71" s="242">
        <v>0</v>
      </c>
      <c r="R71" s="239">
        <v>0</v>
      </c>
      <c r="S71" s="239">
        <v>0</v>
      </c>
      <c r="T71" s="239">
        <v>0</v>
      </c>
      <c r="U71" s="239">
        <v>0</v>
      </c>
      <c r="V71" s="239">
        <v>0</v>
      </c>
      <c r="W71" s="239">
        <v>0</v>
      </c>
      <c r="X71" s="242">
        <v>0</v>
      </c>
      <c r="Y71" s="239">
        <v>0</v>
      </c>
      <c r="Z71" s="242">
        <v>0</v>
      </c>
      <c r="AA71" s="242">
        <v>0</v>
      </c>
      <c r="AB71" s="239">
        <v>0</v>
      </c>
      <c r="AC71" s="239">
        <v>0</v>
      </c>
      <c r="AD71" s="239">
        <v>0</v>
      </c>
      <c r="AE71" s="239">
        <v>0</v>
      </c>
      <c r="AF71" s="242">
        <v>0</v>
      </c>
      <c r="AG71" s="239">
        <v>0</v>
      </c>
      <c r="AH71" s="239">
        <v>0</v>
      </c>
      <c r="AI71" s="239">
        <v>0</v>
      </c>
      <c r="AJ71" s="242">
        <v>0</v>
      </c>
      <c r="AK71" s="242">
        <v>0</v>
      </c>
      <c r="AL71" s="239">
        <v>0</v>
      </c>
      <c r="AM71" s="239">
        <v>0</v>
      </c>
      <c r="AN71" s="239">
        <v>0</v>
      </c>
      <c r="AO71" s="242">
        <v>0</v>
      </c>
      <c r="AP71" s="242">
        <v>0</v>
      </c>
      <c r="AQ71" s="239">
        <v>263361000</v>
      </c>
      <c r="AR71" s="239">
        <v>0</v>
      </c>
      <c r="AS71" s="239">
        <v>321500000</v>
      </c>
      <c r="AT71" s="239">
        <v>0</v>
      </c>
      <c r="AU71" s="239">
        <v>0</v>
      </c>
      <c r="AV71" s="239">
        <v>0</v>
      </c>
      <c r="AW71" s="242">
        <v>584861000</v>
      </c>
      <c r="AX71" s="239">
        <v>8744000</v>
      </c>
      <c r="AY71" s="239">
        <v>0</v>
      </c>
      <c r="AZ71" s="239">
        <v>5735000</v>
      </c>
      <c r="BA71" s="239">
        <v>0</v>
      </c>
      <c r="BB71" s="239">
        <v>0</v>
      </c>
      <c r="BC71" s="242">
        <v>14479000</v>
      </c>
      <c r="BD71" s="242">
        <v>599340000</v>
      </c>
      <c r="BE71" s="239">
        <v>524673000</v>
      </c>
      <c r="BF71" s="239">
        <v>0</v>
      </c>
      <c r="BG71" s="239">
        <v>705000</v>
      </c>
      <c r="BH71" s="239">
        <v>0</v>
      </c>
      <c r="BI71" s="239">
        <v>0</v>
      </c>
      <c r="BJ71" s="239">
        <v>57423000</v>
      </c>
      <c r="BK71" s="239">
        <v>0</v>
      </c>
      <c r="BL71" s="242">
        <v>582801000</v>
      </c>
      <c r="BM71" s="242">
        <v>16539000</v>
      </c>
      <c r="BN71" s="239">
        <v>0</v>
      </c>
      <c r="BO71" s="239">
        <v>0</v>
      </c>
      <c r="BP71" s="239">
        <v>16539000</v>
      </c>
      <c r="BQ71" s="239">
        <v>0</v>
      </c>
      <c r="BR71" s="239">
        <v>0</v>
      </c>
      <c r="BS71" s="242">
        <v>16539000</v>
      </c>
    </row>
    <row r="72" spans="1:71" s="164" customFormat="1" ht="30" customHeight="1" x14ac:dyDescent="0.3">
      <c r="A72" s="233">
        <v>9991</v>
      </c>
      <c r="B72" s="233" t="s">
        <v>162</v>
      </c>
      <c r="C72" s="233" t="s">
        <v>75</v>
      </c>
      <c r="D72" s="233">
        <v>9991</v>
      </c>
      <c r="E72" s="233">
        <v>2026</v>
      </c>
      <c r="F72" s="233" t="s">
        <v>275</v>
      </c>
      <c r="G72" s="233">
        <v>2</v>
      </c>
      <c r="H72" s="233">
        <v>6</v>
      </c>
      <c r="I72" s="233" t="s">
        <v>703</v>
      </c>
      <c r="J72" s="234">
        <v>38149854</v>
      </c>
      <c r="K72" s="234">
        <v>0</v>
      </c>
      <c r="L72" s="234">
        <v>0</v>
      </c>
      <c r="M72" s="234">
        <v>41079728</v>
      </c>
      <c r="N72" s="234">
        <v>0</v>
      </c>
      <c r="O72" s="234">
        <v>33014573</v>
      </c>
      <c r="P72" s="234">
        <v>25269695</v>
      </c>
      <c r="Q72" s="242">
        <v>137513850</v>
      </c>
      <c r="R72" s="234">
        <v>121378470</v>
      </c>
      <c r="S72" s="234">
        <v>0</v>
      </c>
      <c r="T72" s="234">
        <v>0</v>
      </c>
      <c r="U72" s="234">
        <v>0</v>
      </c>
      <c r="V72" s="234">
        <v>413043016</v>
      </c>
      <c r="W72" s="234">
        <v>216743231</v>
      </c>
      <c r="X72" s="242">
        <v>196299785</v>
      </c>
      <c r="Y72" s="234">
        <v>51164084</v>
      </c>
      <c r="Z72" s="242">
        <v>368842339</v>
      </c>
      <c r="AA72" s="242">
        <v>506356189</v>
      </c>
      <c r="AB72" s="234">
        <v>9135512</v>
      </c>
      <c r="AC72" s="234">
        <v>33142329</v>
      </c>
      <c r="AD72" s="234">
        <v>0</v>
      </c>
      <c r="AE72" s="234">
        <v>94895760</v>
      </c>
      <c r="AF72" s="242">
        <v>137173601</v>
      </c>
      <c r="AG72" s="234">
        <v>88620415</v>
      </c>
      <c r="AH72" s="234">
        <v>0</v>
      </c>
      <c r="AI72" s="234">
        <v>30746406</v>
      </c>
      <c r="AJ72" s="242">
        <v>119366821</v>
      </c>
      <c r="AK72" s="242">
        <v>256540422</v>
      </c>
      <c r="AL72" s="234">
        <v>239349253</v>
      </c>
      <c r="AM72" s="234">
        <v>0</v>
      </c>
      <c r="AN72" s="234">
        <v>10466514</v>
      </c>
      <c r="AO72" s="242">
        <v>249815767</v>
      </c>
      <c r="AP72" s="242">
        <v>506356189</v>
      </c>
      <c r="AQ72" s="234">
        <v>200035014</v>
      </c>
      <c r="AR72" s="234">
        <v>35299397</v>
      </c>
      <c r="AS72" s="234">
        <v>49616361</v>
      </c>
      <c r="AT72" s="234">
        <v>0</v>
      </c>
      <c r="AU72" s="234">
        <v>0</v>
      </c>
      <c r="AV72" s="234">
        <v>1294389</v>
      </c>
      <c r="AW72" s="242">
        <v>286245161</v>
      </c>
      <c r="AX72" s="234">
        <v>3915341</v>
      </c>
      <c r="AY72" s="234">
        <v>-461100</v>
      </c>
      <c r="AZ72" s="234">
        <v>0</v>
      </c>
      <c r="BA72" s="234">
        <v>0</v>
      </c>
      <c r="BB72" s="234">
        <v>10445762</v>
      </c>
      <c r="BC72" s="242">
        <v>13900003</v>
      </c>
      <c r="BD72" s="242">
        <v>300145164</v>
      </c>
      <c r="BE72" s="234">
        <v>169638160</v>
      </c>
      <c r="BF72" s="234">
        <v>0</v>
      </c>
      <c r="BG72" s="234">
        <v>9344104</v>
      </c>
      <c r="BH72" s="234">
        <v>1665390</v>
      </c>
      <c r="BI72" s="234">
        <v>4842480</v>
      </c>
      <c r="BJ72" s="234">
        <v>108666553</v>
      </c>
      <c r="BK72" s="234">
        <v>0</v>
      </c>
      <c r="BL72" s="242">
        <v>294156687</v>
      </c>
      <c r="BM72" s="242">
        <v>5988477</v>
      </c>
      <c r="BN72" s="234">
        <v>0</v>
      </c>
      <c r="BO72" s="234">
        <v>-3095183</v>
      </c>
      <c r="BP72" s="234">
        <v>2893294</v>
      </c>
      <c r="BQ72" s="234">
        <v>-277007</v>
      </c>
      <c r="BR72" s="234">
        <v>0</v>
      </c>
      <c r="BS72" s="242">
        <v>2616287</v>
      </c>
    </row>
    <row r="73" spans="1:71" s="202" customFormat="1" ht="30" customHeight="1" x14ac:dyDescent="0.3">
      <c r="A73" s="238">
        <v>10327</v>
      </c>
      <c r="B73" s="238" t="s">
        <v>165</v>
      </c>
      <c r="C73" s="238" t="s">
        <v>83</v>
      </c>
      <c r="D73" s="238">
        <v>9991</v>
      </c>
      <c r="E73" s="238">
        <v>2026</v>
      </c>
      <c r="F73" s="238" t="s">
        <v>275</v>
      </c>
      <c r="G73" s="238">
        <v>2</v>
      </c>
      <c r="H73" s="238">
        <v>6</v>
      </c>
      <c r="I73" s="238" t="s">
        <v>703</v>
      </c>
      <c r="J73" s="239">
        <v>0</v>
      </c>
      <c r="K73" s="239">
        <v>0</v>
      </c>
      <c r="L73" s="239">
        <v>0</v>
      </c>
      <c r="M73" s="239">
        <v>0</v>
      </c>
      <c r="N73" s="239">
        <v>0</v>
      </c>
      <c r="O73" s="239">
        <v>0</v>
      </c>
      <c r="P73" s="239">
        <v>0</v>
      </c>
      <c r="Q73" s="242">
        <v>0</v>
      </c>
      <c r="R73" s="239">
        <v>0</v>
      </c>
      <c r="S73" s="239">
        <v>0</v>
      </c>
      <c r="T73" s="239">
        <v>0</v>
      </c>
      <c r="U73" s="239">
        <v>0</v>
      </c>
      <c r="V73" s="239">
        <v>0</v>
      </c>
      <c r="W73" s="239">
        <v>0</v>
      </c>
      <c r="X73" s="242">
        <v>0</v>
      </c>
      <c r="Y73" s="239">
        <v>0</v>
      </c>
      <c r="Z73" s="242">
        <v>0</v>
      </c>
      <c r="AA73" s="242">
        <v>0</v>
      </c>
      <c r="AB73" s="239">
        <v>0</v>
      </c>
      <c r="AC73" s="239">
        <v>0</v>
      </c>
      <c r="AD73" s="239">
        <v>0</v>
      </c>
      <c r="AE73" s="239">
        <v>0</v>
      </c>
      <c r="AF73" s="242">
        <v>0</v>
      </c>
      <c r="AG73" s="239">
        <v>0</v>
      </c>
      <c r="AH73" s="239">
        <v>0</v>
      </c>
      <c r="AI73" s="239">
        <v>0</v>
      </c>
      <c r="AJ73" s="242">
        <v>0</v>
      </c>
      <c r="AK73" s="242">
        <v>0</v>
      </c>
      <c r="AL73" s="239">
        <v>0</v>
      </c>
      <c r="AM73" s="239">
        <v>0</v>
      </c>
      <c r="AN73" s="239">
        <v>0</v>
      </c>
      <c r="AO73" s="242">
        <v>0</v>
      </c>
      <c r="AP73" s="242">
        <v>0</v>
      </c>
      <c r="AQ73" s="239">
        <v>34173593</v>
      </c>
      <c r="AR73" s="239">
        <v>11034386</v>
      </c>
      <c r="AS73" s="239">
        <v>-2234297</v>
      </c>
      <c r="AT73" s="239">
        <v>0</v>
      </c>
      <c r="AU73" s="239">
        <v>0</v>
      </c>
      <c r="AV73" s="239">
        <v>57036</v>
      </c>
      <c r="AW73" s="242">
        <v>43030718</v>
      </c>
      <c r="AX73" s="239">
        <v>0</v>
      </c>
      <c r="AY73" s="239">
        <v>0</v>
      </c>
      <c r="AZ73" s="239">
        <v>0</v>
      </c>
      <c r="BA73" s="239">
        <v>0</v>
      </c>
      <c r="BB73" s="239">
        <v>0</v>
      </c>
      <c r="BC73" s="242">
        <v>0</v>
      </c>
      <c r="BD73" s="242">
        <v>43030718</v>
      </c>
      <c r="BE73" s="239">
        <v>42868593</v>
      </c>
      <c r="BF73" s="239">
        <v>0</v>
      </c>
      <c r="BG73" s="239">
        <v>309531</v>
      </c>
      <c r="BH73" s="239">
        <v>0</v>
      </c>
      <c r="BI73" s="239">
        <v>0</v>
      </c>
      <c r="BJ73" s="239">
        <v>8163291</v>
      </c>
      <c r="BK73" s="239">
        <v>0</v>
      </c>
      <c r="BL73" s="242">
        <v>51341415</v>
      </c>
      <c r="BM73" s="242">
        <v>-8310697</v>
      </c>
      <c r="BN73" s="239">
        <v>-15150979</v>
      </c>
      <c r="BO73" s="239">
        <v>13102355</v>
      </c>
      <c r="BP73" s="239">
        <v>-10359321</v>
      </c>
      <c r="BQ73" s="239">
        <v>0</v>
      </c>
      <c r="BR73" s="239">
        <v>0</v>
      </c>
      <c r="BS73" s="242">
        <v>-10359321</v>
      </c>
    </row>
    <row r="74" spans="1:71" s="164" customFormat="1" ht="30" customHeight="1" x14ac:dyDescent="0.3">
      <c r="A74" s="233">
        <v>10976</v>
      </c>
      <c r="B74" s="233" t="s">
        <v>137</v>
      </c>
      <c r="C74" s="233" t="s">
        <v>83</v>
      </c>
      <c r="D74" s="233">
        <v>12807</v>
      </c>
      <c r="E74" s="233">
        <v>2026</v>
      </c>
      <c r="F74" s="233" t="s">
        <v>275</v>
      </c>
      <c r="G74" s="233">
        <v>2</v>
      </c>
      <c r="H74" s="233">
        <v>6</v>
      </c>
      <c r="I74" s="233" t="s">
        <v>703</v>
      </c>
      <c r="J74" s="234">
        <v>0</v>
      </c>
      <c r="K74" s="234">
        <v>0</v>
      </c>
      <c r="L74" s="234">
        <v>0</v>
      </c>
      <c r="M74" s="234">
        <v>0</v>
      </c>
      <c r="N74" s="234">
        <v>0</v>
      </c>
      <c r="O74" s="234">
        <v>0</v>
      </c>
      <c r="P74" s="234">
        <v>0</v>
      </c>
      <c r="Q74" s="242">
        <v>0</v>
      </c>
      <c r="R74" s="234">
        <v>0</v>
      </c>
      <c r="S74" s="234">
        <v>0</v>
      </c>
      <c r="T74" s="234">
        <v>0</v>
      </c>
      <c r="U74" s="234">
        <v>0</v>
      </c>
      <c r="V74" s="234">
        <v>0</v>
      </c>
      <c r="W74" s="234">
        <v>0</v>
      </c>
      <c r="X74" s="242">
        <v>0</v>
      </c>
      <c r="Y74" s="234">
        <v>0</v>
      </c>
      <c r="Z74" s="242">
        <v>0</v>
      </c>
      <c r="AA74" s="242">
        <v>0</v>
      </c>
      <c r="AB74" s="234">
        <v>0</v>
      </c>
      <c r="AC74" s="234">
        <v>0</v>
      </c>
      <c r="AD74" s="234">
        <v>0</v>
      </c>
      <c r="AE74" s="234">
        <v>0</v>
      </c>
      <c r="AF74" s="242">
        <v>0</v>
      </c>
      <c r="AG74" s="234">
        <v>0</v>
      </c>
      <c r="AH74" s="234">
        <v>0</v>
      </c>
      <c r="AI74" s="234">
        <v>0</v>
      </c>
      <c r="AJ74" s="242">
        <v>0</v>
      </c>
      <c r="AK74" s="242">
        <v>0</v>
      </c>
      <c r="AL74" s="234">
        <v>0</v>
      </c>
      <c r="AM74" s="234">
        <v>0</v>
      </c>
      <c r="AN74" s="234">
        <v>0</v>
      </c>
      <c r="AO74" s="242">
        <v>0</v>
      </c>
      <c r="AP74" s="242">
        <v>0</v>
      </c>
      <c r="AQ74" s="234">
        <v>2701936</v>
      </c>
      <c r="AR74" s="234">
        <v>0</v>
      </c>
      <c r="AS74" s="234">
        <v>705354</v>
      </c>
      <c r="AT74" s="234">
        <v>0</v>
      </c>
      <c r="AU74" s="234">
        <v>0</v>
      </c>
      <c r="AV74" s="234">
        <v>0</v>
      </c>
      <c r="AW74" s="242">
        <v>3407290</v>
      </c>
      <c r="AX74" s="234">
        <v>0</v>
      </c>
      <c r="AY74" s="234">
        <v>0</v>
      </c>
      <c r="AZ74" s="234">
        <v>0</v>
      </c>
      <c r="BA74" s="234">
        <v>0</v>
      </c>
      <c r="BB74" s="234">
        <v>0</v>
      </c>
      <c r="BC74" s="242">
        <v>0</v>
      </c>
      <c r="BD74" s="242">
        <v>3407290</v>
      </c>
      <c r="BE74" s="234">
        <v>7835209</v>
      </c>
      <c r="BF74" s="234">
        <v>0</v>
      </c>
      <c r="BG74" s="234">
        <v>21735</v>
      </c>
      <c r="BH74" s="234">
        <v>0</v>
      </c>
      <c r="BI74" s="234">
        <v>0</v>
      </c>
      <c r="BJ74" s="234">
        <v>281612</v>
      </c>
      <c r="BK74" s="234">
        <v>0</v>
      </c>
      <c r="BL74" s="242">
        <v>8138556</v>
      </c>
      <c r="BM74" s="242">
        <v>-4731266</v>
      </c>
      <c r="BN74" s="234">
        <v>11728789</v>
      </c>
      <c r="BO74" s="234">
        <v>0</v>
      </c>
      <c r="BP74" s="234">
        <v>6997523</v>
      </c>
      <c r="BQ74" s="234">
        <v>0</v>
      </c>
      <c r="BR74" s="234">
        <v>0</v>
      </c>
      <c r="BS74" s="242">
        <v>6997523</v>
      </c>
    </row>
    <row r="75" spans="1:71" s="202" customFormat="1" ht="30" customHeight="1" x14ac:dyDescent="0.3">
      <c r="A75" s="238">
        <v>10991</v>
      </c>
      <c r="B75" s="238" t="s">
        <v>196</v>
      </c>
      <c r="C75" s="238" t="s">
        <v>83</v>
      </c>
      <c r="D75" s="238">
        <v>12775</v>
      </c>
      <c r="E75" s="238">
        <v>2026</v>
      </c>
      <c r="F75" s="238" t="s">
        <v>275</v>
      </c>
      <c r="G75" s="238">
        <v>2</v>
      </c>
      <c r="H75" s="238">
        <v>6</v>
      </c>
      <c r="I75" s="238" t="s">
        <v>703</v>
      </c>
      <c r="J75" s="239">
        <v>0</v>
      </c>
      <c r="K75" s="239">
        <v>0</v>
      </c>
      <c r="L75" s="239">
        <v>0</v>
      </c>
      <c r="M75" s="239">
        <v>0</v>
      </c>
      <c r="N75" s="239">
        <v>0</v>
      </c>
      <c r="O75" s="239">
        <v>0</v>
      </c>
      <c r="P75" s="239">
        <v>0</v>
      </c>
      <c r="Q75" s="242">
        <v>0</v>
      </c>
      <c r="R75" s="239">
        <v>0</v>
      </c>
      <c r="S75" s="239">
        <v>0</v>
      </c>
      <c r="T75" s="239">
        <v>0</v>
      </c>
      <c r="U75" s="239">
        <v>0</v>
      </c>
      <c r="V75" s="239">
        <v>0</v>
      </c>
      <c r="W75" s="239">
        <v>0</v>
      </c>
      <c r="X75" s="242">
        <v>0</v>
      </c>
      <c r="Y75" s="239">
        <v>0</v>
      </c>
      <c r="Z75" s="242">
        <v>0</v>
      </c>
      <c r="AA75" s="242">
        <v>0</v>
      </c>
      <c r="AB75" s="239">
        <v>0</v>
      </c>
      <c r="AC75" s="239">
        <v>0</v>
      </c>
      <c r="AD75" s="239">
        <v>0</v>
      </c>
      <c r="AE75" s="239">
        <v>0</v>
      </c>
      <c r="AF75" s="242">
        <v>0</v>
      </c>
      <c r="AG75" s="239">
        <v>0</v>
      </c>
      <c r="AH75" s="239">
        <v>0</v>
      </c>
      <c r="AI75" s="239">
        <v>0</v>
      </c>
      <c r="AJ75" s="242">
        <v>0</v>
      </c>
      <c r="AK75" s="242">
        <v>0</v>
      </c>
      <c r="AL75" s="239">
        <v>0</v>
      </c>
      <c r="AM75" s="239">
        <v>0</v>
      </c>
      <c r="AN75" s="239">
        <v>0</v>
      </c>
      <c r="AO75" s="242">
        <v>0</v>
      </c>
      <c r="AP75" s="242">
        <v>0</v>
      </c>
      <c r="AQ75" s="239">
        <v>124275000</v>
      </c>
      <c r="AR75" s="239">
        <v>0</v>
      </c>
      <c r="AS75" s="239">
        <v>73521000</v>
      </c>
      <c r="AT75" s="239">
        <v>0</v>
      </c>
      <c r="AU75" s="239">
        <v>0</v>
      </c>
      <c r="AV75" s="239">
        <v>0</v>
      </c>
      <c r="AW75" s="242">
        <v>197796000</v>
      </c>
      <c r="AX75" s="239">
        <v>0</v>
      </c>
      <c r="AY75" s="239">
        <v>0</v>
      </c>
      <c r="AZ75" s="239">
        <v>0</v>
      </c>
      <c r="BA75" s="239">
        <v>0</v>
      </c>
      <c r="BB75" s="239">
        <v>0</v>
      </c>
      <c r="BC75" s="242">
        <v>0</v>
      </c>
      <c r="BD75" s="242">
        <v>197796000</v>
      </c>
      <c r="BE75" s="239">
        <v>185027000</v>
      </c>
      <c r="BF75" s="239">
        <v>0</v>
      </c>
      <c r="BG75" s="239">
        <v>253000</v>
      </c>
      <c r="BH75" s="239">
        <v>0</v>
      </c>
      <c r="BI75" s="239">
        <v>0</v>
      </c>
      <c r="BJ75" s="239">
        <v>56059000</v>
      </c>
      <c r="BK75" s="239">
        <v>0</v>
      </c>
      <c r="BL75" s="242">
        <v>241339000</v>
      </c>
      <c r="BM75" s="242">
        <v>-43543000</v>
      </c>
      <c r="BN75" s="239">
        <v>66446000</v>
      </c>
      <c r="BO75" s="239">
        <v>-2792000</v>
      </c>
      <c r="BP75" s="239">
        <v>20111000</v>
      </c>
      <c r="BQ75" s="239">
        <v>0</v>
      </c>
      <c r="BR75" s="239">
        <v>0</v>
      </c>
      <c r="BS75" s="242">
        <v>20111000</v>
      </c>
    </row>
    <row r="76" spans="1:71" s="164" customFormat="1" ht="30" customHeight="1" x14ac:dyDescent="0.3">
      <c r="A76" s="233">
        <v>10996</v>
      </c>
      <c r="B76" s="233" t="s">
        <v>151</v>
      </c>
      <c r="C76" s="233" t="s">
        <v>83</v>
      </c>
      <c r="D76" s="233">
        <v>3791</v>
      </c>
      <c r="E76" s="233">
        <v>2026</v>
      </c>
      <c r="F76" s="233" t="s">
        <v>275</v>
      </c>
      <c r="G76" s="233">
        <v>2</v>
      </c>
      <c r="H76" s="233">
        <v>6</v>
      </c>
      <c r="I76" s="233" t="s">
        <v>703</v>
      </c>
      <c r="J76" s="234">
        <v>0</v>
      </c>
      <c r="K76" s="234">
        <v>0</v>
      </c>
      <c r="L76" s="234">
        <v>0</v>
      </c>
      <c r="M76" s="234">
        <v>0</v>
      </c>
      <c r="N76" s="234">
        <v>0</v>
      </c>
      <c r="O76" s="234">
        <v>0</v>
      </c>
      <c r="P76" s="234">
        <v>0</v>
      </c>
      <c r="Q76" s="242">
        <v>0</v>
      </c>
      <c r="R76" s="234">
        <v>0</v>
      </c>
      <c r="S76" s="234">
        <v>0</v>
      </c>
      <c r="T76" s="234">
        <v>0</v>
      </c>
      <c r="U76" s="234">
        <v>0</v>
      </c>
      <c r="V76" s="234">
        <v>0</v>
      </c>
      <c r="W76" s="234">
        <v>0</v>
      </c>
      <c r="X76" s="242">
        <v>0</v>
      </c>
      <c r="Y76" s="234">
        <v>0</v>
      </c>
      <c r="Z76" s="242">
        <v>0</v>
      </c>
      <c r="AA76" s="242">
        <v>0</v>
      </c>
      <c r="AB76" s="234">
        <v>0</v>
      </c>
      <c r="AC76" s="234">
        <v>0</v>
      </c>
      <c r="AD76" s="234">
        <v>0</v>
      </c>
      <c r="AE76" s="234">
        <v>0</v>
      </c>
      <c r="AF76" s="242">
        <v>0</v>
      </c>
      <c r="AG76" s="234">
        <v>0</v>
      </c>
      <c r="AH76" s="234">
        <v>0</v>
      </c>
      <c r="AI76" s="234">
        <v>0</v>
      </c>
      <c r="AJ76" s="242">
        <v>0</v>
      </c>
      <c r="AK76" s="242">
        <v>0</v>
      </c>
      <c r="AL76" s="234">
        <v>0</v>
      </c>
      <c r="AM76" s="234">
        <v>0</v>
      </c>
      <c r="AN76" s="234">
        <v>0</v>
      </c>
      <c r="AO76" s="242">
        <v>0</v>
      </c>
      <c r="AP76" s="242">
        <v>0</v>
      </c>
      <c r="AQ76" s="234">
        <v>455238000</v>
      </c>
      <c r="AR76" s="234">
        <v>0</v>
      </c>
      <c r="AS76" s="234">
        <v>192974000</v>
      </c>
      <c r="AT76" s="234">
        <v>0</v>
      </c>
      <c r="AU76" s="234">
        <v>0</v>
      </c>
      <c r="AV76" s="234">
        <v>0</v>
      </c>
      <c r="AW76" s="242">
        <v>648212000</v>
      </c>
      <c r="AX76" s="234">
        <v>15062000</v>
      </c>
      <c r="AY76" s="234">
        <v>0</v>
      </c>
      <c r="AZ76" s="234">
        <v>587000</v>
      </c>
      <c r="BA76" s="234">
        <v>0</v>
      </c>
      <c r="BB76" s="234">
        <v>40000</v>
      </c>
      <c r="BC76" s="242">
        <v>15689000</v>
      </c>
      <c r="BD76" s="242">
        <v>663901000</v>
      </c>
      <c r="BE76" s="234">
        <v>534407000</v>
      </c>
      <c r="BF76" s="234">
        <v>0</v>
      </c>
      <c r="BG76" s="234">
        <v>3322000</v>
      </c>
      <c r="BH76" s="234">
        <v>509000</v>
      </c>
      <c r="BI76" s="234">
        <v>0</v>
      </c>
      <c r="BJ76" s="234">
        <v>104543000</v>
      </c>
      <c r="BK76" s="234">
        <v>0</v>
      </c>
      <c r="BL76" s="242">
        <v>642781000</v>
      </c>
      <c r="BM76" s="242">
        <v>21120000</v>
      </c>
      <c r="BN76" s="234">
        <v>1062000</v>
      </c>
      <c r="BO76" s="234">
        <v>-211000</v>
      </c>
      <c r="BP76" s="234">
        <v>21971000</v>
      </c>
      <c r="BQ76" s="234">
        <v>0</v>
      </c>
      <c r="BR76" s="234">
        <v>0</v>
      </c>
      <c r="BS76" s="242">
        <v>21971000</v>
      </c>
    </row>
    <row r="77" spans="1:71" s="202" customFormat="1" ht="30" customHeight="1" x14ac:dyDescent="0.3">
      <c r="A77" s="238">
        <v>11002</v>
      </c>
      <c r="B77" s="238" t="s">
        <v>154</v>
      </c>
      <c r="C77" s="238" t="s">
        <v>83</v>
      </c>
      <c r="D77" s="238">
        <v>3791</v>
      </c>
      <c r="E77" s="238">
        <v>2026</v>
      </c>
      <c r="F77" s="238" t="s">
        <v>275</v>
      </c>
      <c r="G77" s="238">
        <v>2</v>
      </c>
      <c r="H77" s="238">
        <v>6</v>
      </c>
      <c r="I77" s="238" t="s">
        <v>703</v>
      </c>
      <c r="J77" s="239">
        <v>0</v>
      </c>
      <c r="K77" s="239">
        <v>0</v>
      </c>
      <c r="L77" s="239">
        <v>0</v>
      </c>
      <c r="M77" s="239">
        <v>0</v>
      </c>
      <c r="N77" s="239">
        <v>0</v>
      </c>
      <c r="O77" s="239">
        <v>0</v>
      </c>
      <c r="P77" s="239">
        <v>0</v>
      </c>
      <c r="Q77" s="242">
        <v>0</v>
      </c>
      <c r="R77" s="239">
        <v>0</v>
      </c>
      <c r="S77" s="239">
        <v>0</v>
      </c>
      <c r="T77" s="239">
        <v>0</v>
      </c>
      <c r="U77" s="239">
        <v>0</v>
      </c>
      <c r="V77" s="239">
        <v>0</v>
      </c>
      <c r="W77" s="239">
        <v>0</v>
      </c>
      <c r="X77" s="242">
        <v>0</v>
      </c>
      <c r="Y77" s="239">
        <v>0</v>
      </c>
      <c r="Z77" s="242">
        <v>0</v>
      </c>
      <c r="AA77" s="242">
        <v>0</v>
      </c>
      <c r="AB77" s="239">
        <v>0</v>
      </c>
      <c r="AC77" s="239">
        <v>0</v>
      </c>
      <c r="AD77" s="239">
        <v>0</v>
      </c>
      <c r="AE77" s="239">
        <v>0</v>
      </c>
      <c r="AF77" s="242">
        <v>0</v>
      </c>
      <c r="AG77" s="239">
        <v>0</v>
      </c>
      <c r="AH77" s="239">
        <v>0</v>
      </c>
      <c r="AI77" s="239">
        <v>0</v>
      </c>
      <c r="AJ77" s="242">
        <v>0</v>
      </c>
      <c r="AK77" s="242">
        <v>0</v>
      </c>
      <c r="AL77" s="239">
        <v>0</v>
      </c>
      <c r="AM77" s="239">
        <v>0</v>
      </c>
      <c r="AN77" s="239">
        <v>0</v>
      </c>
      <c r="AO77" s="242">
        <v>0</v>
      </c>
      <c r="AP77" s="242">
        <v>0</v>
      </c>
      <c r="AQ77" s="239">
        <v>585508000</v>
      </c>
      <c r="AR77" s="239">
        <v>0</v>
      </c>
      <c r="AS77" s="239">
        <v>260901000</v>
      </c>
      <c r="AT77" s="239">
        <v>0</v>
      </c>
      <c r="AU77" s="239">
        <v>0</v>
      </c>
      <c r="AV77" s="239">
        <v>0</v>
      </c>
      <c r="AW77" s="242">
        <v>846409000</v>
      </c>
      <c r="AX77" s="239">
        <v>21814000</v>
      </c>
      <c r="AY77" s="239">
        <v>0</v>
      </c>
      <c r="AZ77" s="239">
        <v>764000</v>
      </c>
      <c r="BA77" s="239">
        <v>0</v>
      </c>
      <c r="BB77" s="239">
        <v>26000</v>
      </c>
      <c r="BC77" s="242">
        <v>22604000</v>
      </c>
      <c r="BD77" s="242">
        <v>869013000</v>
      </c>
      <c r="BE77" s="239">
        <v>719403000</v>
      </c>
      <c r="BF77" s="239">
        <v>0</v>
      </c>
      <c r="BG77" s="239">
        <v>9418000</v>
      </c>
      <c r="BH77" s="239">
        <v>605000</v>
      </c>
      <c r="BI77" s="239">
        <v>0</v>
      </c>
      <c r="BJ77" s="239">
        <v>137598000</v>
      </c>
      <c r="BK77" s="239">
        <v>0</v>
      </c>
      <c r="BL77" s="242">
        <v>867024000</v>
      </c>
      <c r="BM77" s="242">
        <v>1989000</v>
      </c>
      <c r="BN77" s="239">
        <v>-1815000</v>
      </c>
      <c r="BO77" s="239">
        <v>0</v>
      </c>
      <c r="BP77" s="239">
        <v>174000</v>
      </c>
      <c r="BQ77" s="239">
        <v>0</v>
      </c>
      <c r="BR77" s="239">
        <v>0</v>
      </c>
      <c r="BS77" s="242">
        <v>174000</v>
      </c>
    </row>
    <row r="78" spans="1:71" s="164" customFormat="1" ht="30" customHeight="1" x14ac:dyDescent="0.3">
      <c r="A78" s="238">
        <v>11004</v>
      </c>
      <c r="B78" s="238" t="s">
        <v>157</v>
      </c>
      <c r="C78" s="238" t="s">
        <v>83</v>
      </c>
      <c r="D78" s="238">
        <v>3791</v>
      </c>
      <c r="E78" s="238">
        <v>2026</v>
      </c>
      <c r="F78" s="238" t="s">
        <v>275</v>
      </c>
      <c r="G78" s="238">
        <v>2</v>
      </c>
      <c r="H78" s="238">
        <v>6</v>
      </c>
      <c r="I78" s="238" t="s">
        <v>703</v>
      </c>
      <c r="J78" s="239">
        <v>0</v>
      </c>
      <c r="K78" s="239">
        <v>0</v>
      </c>
      <c r="L78" s="239">
        <v>0</v>
      </c>
      <c r="M78" s="239">
        <v>0</v>
      </c>
      <c r="N78" s="239">
        <v>0</v>
      </c>
      <c r="O78" s="239">
        <v>0</v>
      </c>
      <c r="P78" s="239">
        <v>0</v>
      </c>
      <c r="Q78" s="242">
        <v>0</v>
      </c>
      <c r="R78" s="239">
        <v>0</v>
      </c>
      <c r="S78" s="239">
        <v>0</v>
      </c>
      <c r="T78" s="239">
        <v>0</v>
      </c>
      <c r="U78" s="239">
        <v>0</v>
      </c>
      <c r="V78" s="239">
        <v>0</v>
      </c>
      <c r="W78" s="239">
        <v>0</v>
      </c>
      <c r="X78" s="242">
        <v>0</v>
      </c>
      <c r="Y78" s="239">
        <v>0</v>
      </c>
      <c r="Z78" s="242">
        <v>0</v>
      </c>
      <c r="AA78" s="242">
        <v>0</v>
      </c>
      <c r="AB78" s="239">
        <v>0</v>
      </c>
      <c r="AC78" s="239">
        <v>0</v>
      </c>
      <c r="AD78" s="239">
        <v>0</v>
      </c>
      <c r="AE78" s="239">
        <v>0</v>
      </c>
      <c r="AF78" s="242">
        <v>0</v>
      </c>
      <c r="AG78" s="239">
        <v>0</v>
      </c>
      <c r="AH78" s="239">
        <v>0</v>
      </c>
      <c r="AI78" s="239">
        <v>0</v>
      </c>
      <c r="AJ78" s="242">
        <v>0</v>
      </c>
      <c r="AK78" s="242">
        <v>0</v>
      </c>
      <c r="AL78" s="239">
        <v>0</v>
      </c>
      <c r="AM78" s="239">
        <v>0</v>
      </c>
      <c r="AN78" s="239">
        <v>0</v>
      </c>
      <c r="AO78" s="242">
        <v>0</v>
      </c>
      <c r="AP78" s="242">
        <v>0</v>
      </c>
      <c r="AQ78" s="239">
        <v>122330000</v>
      </c>
      <c r="AR78" s="239">
        <v>0</v>
      </c>
      <c r="AS78" s="239">
        <v>26486000</v>
      </c>
      <c r="AT78" s="239">
        <v>0</v>
      </c>
      <c r="AU78" s="239">
        <v>0</v>
      </c>
      <c r="AV78" s="239">
        <v>0</v>
      </c>
      <c r="AW78" s="242">
        <v>148816000</v>
      </c>
      <c r="AX78" s="239">
        <v>-53000</v>
      </c>
      <c r="AY78" s="239">
        <v>0</v>
      </c>
      <c r="AZ78" s="239">
        <v>0</v>
      </c>
      <c r="BA78" s="239">
        <v>0</v>
      </c>
      <c r="BB78" s="239">
        <v>0</v>
      </c>
      <c r="BC78" s="242">
        <v>-53000</v>
      </c>
      <c r="BD78" s="242">
        <v>148763000</v>
      </c>
      <c r="BE78" s="239">
        <v>131487000</v>
      </c>
      <c r="BF78" s="239">
        <v>0</v>
      </c>
      <c r="BG78" s="239">
        <v>1508000</v>
      </c>
      <c r="BH78" s="239">
        <v>4000</v>
      </c>
      <c r="BI78" s="239">
        <v>0</v>
      </c>
      <c r="BJ78" s="239">
        <v>36082000</v>
      </c>
      <c r="BK78" s="239">
        <v>0</v>
      </c>
      <c r="BL78" s="242">
        <v>169081000</v>
      </c>
      <c r="BM78" s="242">
        <v>-20318000</v>
      </c>
      <c r="BN78" s="239">
        <v>10393000</v>
      </c>
      <c r="BO78" s="239">
        <v>0</v>
      </c>
      <c r="BP78" s="239">
        <v>-9925000</v>
      </c>
      <c r="BQ78" s="239">
        <v>0</v>
      </c>
      <c r="BR78" s="239">
        <v>0</v>
      </c>
      <c r="BS78" s="242">
        <v>-9925000</v>
      </c>
    </row>
    <row r="79" spans="1:71" s="202" customFormat="1" ht="30" customHeight="1" x14ac:dyDescent="0.3">
      <c r="A79" s="233">
        <v>11394</v>
      </c>
      <c r="B79" s="233" t="s">
        <v>616</v>
      </c>
      <c r="C79" s="233" t="s">
        <v>83</v>
      </c>
      <c r="D79" s="233">
        <v>3888</v>
      </c>
      <c r="E79" s="233">
        <v>2026</v>
      </c>
      <c r="F79" s="233" t="s">
        <v>630</v>
      </c>
      <c r="G79" s="233">
        <v>1</v>
      </c>
      <c r="H79" s="233">
        <v>3</v>
      </c>
      <c r="I79" s="233" t="s">
        <v>704</v>
      </c>
      <c r="J79" s="234">
        <v>0</v>
      </c>
      <c r="K79" s="234">
        <v>0</v>
      </c>
      <c r="L79" s="234">
        <v>0</v>
      </c>
      <c r="M79" s="234">
        <v>0</v>
      </c>
      <c r="N79" s="234">
        <v>0</v>
      </c>
      <c r="O79" s="234">
        <v>0</v>
      </c>
      <c r="P79" s="234">
        <v>0</v>
      </c>
      <c r="Q79" s="242">
        <v>0</v>
      </c>
      <c r="R79" s="234">
        <v>0</v>
      </c>
      <c r="S79" s="234">
        <v>0</v>
      </c>
      <c r="T79" s="234">
        <v>0</v>
      </c>
      <c r="U79" s="234">
        <v>0</v>
      </c>
      <c r="V79" s="234">
        <v>0</v>
      </c>
      <c r="W79" s="234">
        <v>0</v>
      </c>
      <c r="X79" s="242">
        <v>0</v>
      </c>
      <c r="Y79" s="234">
        <v>0</v>
      </c>
      <c r="Z79" s="242">
        <v>0</v>
      </c>
      <c r="AA79" s="242">
        <v>0</v>
      </c>
      <c r="AB79" s="234">
        <v>0</v>
      </c>
      <c r="AC79" s="234">
        <v>0</v>
      </c>
      <c r="AD79" s="234">
        <v>0</v>
      </c>
      <c r="AE79" s="234">
        <v>0</v>
      </c>
      <c r="AF79" s="242">
        <v>0</v>
      </c>
      <c r="AG79" s="234">
        <v>0</v>
      </c>
      <c r="AH79" s="234">
        <v>0</v>
      </c>
      <c r="AI79" s="234">
        <v>0</v>
      </c>
      <c r="AJ79" s="242">
        <v>0</v>
      </c>
      <c r="AK79" s="242">
        <v>0</v>
      </c>
      <c r="AL79" s="234">
        <v>0</v>
      </c>
      <c r="AM79" s="234">
        <v>0</v>
      </c>
      <c r="AN79" s="234">
        <v>0</v>
      </c>
      <c r="AO79" s="242">
        <v>0</v>
      </c>
      <c r="AP79" s="242">
        <v>0</v>
      </c>
      <c r="AQ79" s="234">
        <v>710565</v>
      </c>
      <c r="AR79" s="234">
        <v>0</v>
      </c>
      <c r="AS79" s="234">
        <v>839892</v>
      </c>
      <c r="AT79" s="234">
        <v>0</v>
      </c>
      <c r="AU79" s="234">
        <v>0</v>
      </c>
      <c r="AV79" s="234">
        <v>0</v>
      </c>
      <c r="AW79" s="242">
        <v>1550457</v>
      </c>
      <c r="AX79" s="234">
        <v>0</v>
      </c>
      <c r="AY79" s="234">
        <v>0</v>
      </c>
      <c r="AZ79" s="234">
        <v>0</v>
      </c>
      <c r="BA79" s="234">
        <v>0</v>
      </c>
      <c r="BB79" s="234">
        <v>0</v>
      </c>
      <c r="BC79" s="242">
        <v>0</v>
      </c>
      <c r="BD79" s="242">
        <v>1550457</v>
      </c>
      <c r="BE79" s="234">
        <v>2097622</v>
      </c>
      <c r="BF79" s="234">
        <v>0</v>
      </c>
      <c r="BG79" s="234">
        <v>11593</v>
      </c>
      <c r="BH79" s="234">
        <v>1590</v>
      </c>
      <c r="BI79" s="234">
        <v>0</v>
      </c>
      <c r="BJ79" s="234">
        <v>484981</v>
      </c>
      <c r="BK79" s="234">
        <v>0</v>
      </c>
      <c r="BL79" s="242">
        <v>2595786</v>
      </c>
      <c r="BM79" s="242">
        <v>-1045329</v>
      </c>
      <c r="BN79" s="234">
        <v>0</v>
      </c>
      <c r="BO79" s="234">
        <v>0</v>
      </c>
      <c r="BP79" s="234">
        <v>-1045329</v>
      </c>
      <c r="BQ79" s="234">
        <v>0</v>
      </c>
      <c r="BR79" s="234">
        <v>0</v>
      </c>
      <c r="BS79" s="242">
        <v>-1045329</v>
      </c>
    </row>
    <row r="80" spans="1:71" s="164" customFormat="1" ht="30" customHeight="1" x14ac:dyDescent="0.3">
      <c r="A80" s="233">
        <v>11397</v>
      </c>
      <c r="B80" s="233" t="s">
        <v>182</v>
      </c>
      <c r="C80" s="233" t="s">
        <v>83</v>
      </c>
      <c r="D80" s="233">
        <v>12773</v>
      </c>
      <c r="E80" s="233">
        <v>2026</v>
      </c>
      <c r="F80" s="233" t="s">
        <v>275</v>
      </c>
      <c r="G80" s="233">
        <v>2</v>
      </c>
      <c r="H80" s="233">
        <v>6</v>
      </c>
      <c r="I80" s="233" t="s">
        <v>703</v>
      </c>
      <c r="J80" s="234">
        <v>0</v>
      </c>
      <c r="K80" s="234">
        <v>0</v>
      </c>
      <c r="L80" s="234">
        <v>0</v>
      </c>
      <c r="M80" s="234">
        <v>0</v>
      </c>
      <c r="N80" s="234">
        <v>0</v>
      </c>
      <c r="O80" s="234">
        <v>0</v>
      </c>
      <c r="P80" s="234">
        <v>0</v>
      </c>
      <c r="Q80" s="242">
        <v>0</v>
      </c>
      <c r="R80" s="234">
        <v>0</v>
      </c>
      <c r="S80" s="234">
        <v>0</v>
      </c>
      <c r="T80" s="234">
        <v>0</v>
      </c>
      <c r="U80" s="234">
        <v>0</v>
      </c>
      <c r="V80" s="234">
        <v>0</v>
      </c>
      <c r="W80" s="234">
        <v>0</v>
      </c>
      <c r="X80" s="242">
        <v>0</v>
      </c>
      <c r="Y80" s="234">
        <v>0</v>
      </c>
      <c r="Z80" s="242">
        <v>0</v>
      </c>
      <c r="AA80" s="242">
        <v>0</v>
      </c>
      <c r="AB80" s="234">
        <v>0</v>
      </c>
      <c r="AC80" s="234">
        <v>0</v>
      </c>
      <c r="AD80" s="234">
        <v>0</v>
      </c>
      <c r="AE80" s="234">
        <v>0</v>
      </c>
      <c r="AF80" s="242">
        <v>0</v>
      </c>
      <c r="AG80" s="234">
        <v>0</v>
      </c>
      <c r="AH80" s="234">
        <v>0</v>
      </c>
      <c r="AI80" s="234">
        <v>0</v>
      </c>
      <c r="AJ80" s="242">
        <v>0</v>
      </c>
      <c r="AK80" s="242">
        <v>0</v>
      </c>
      <c r="AL80" s="234">
        <v>0</v>
      </c>
      <c r="AM80" s="234">
        <v>0</v>
      </c>
      <c r="AN80" s="234">
        <v>0</v>
      </c>
      <c r="AO80" s="242">
        <v>0</v>
      </c>
      <c r="AP80" s="242">
        <v>0</v>
      </c>
      <c r="AQ80" s="234">
        <v>32545280</v>
      </c>
      <c r="AR80" s="234">
        <v>0</v>
      </c>
      <c r="AS80" s="234">
        <v>2395765</v>
      </c>
      <c r="AT80" s="234">
        <v>0</v>
      </c>
      <c r="AU80" s="234">
        <v>0</v>
      </c>
      <c r="AV80" s="234">
        <v>0</v>
      </c>
      <c r="AW80" s="242">
        <v>34941045</v>
      </c>
      <c r="AX80" s="234">
        <v>0</v>
      </c>
      <c r="AY80" s="234">
        <v>0</v>
      </c>
      <c r="AZ80" s="234"/>
      <c r="BA80" s="234">
        <v>0</v>
      </c>
      <c r="BB80" s="234">
        <v>0</v>
      </c>
      <c r="BC80" s="242">
        <v>0</v>
      </c>
      <c r="BD80" s="242">
        <v>34941045</v>
      </c>
      <c r="BE80" s="234">
        <v>39093788</v>
      </c>
      <c r="BF80" s="234">
        <v>0</v>
      </c>
      <c r="BG80" s="234">
        <v>159567</v>
      </c>
      <c r="BH80" s="234">
        <v>0</v>
      </c>
      <c r="BI80" s="234">
        <v>0</v>
      </c>
      <c r="BJ80" s="234">
        <v>8034709</v>
      </c>
      <c r="BK80" s="234">
        <v>0</v>
      </c>
      <c r="BL80" s="242">
        <v>47288064</v>
      </c>
      <c r="BM80" s="242">
        <v>-12347019</v>
      </c>
      <c r="BN80" s="234">
        <v>0</v>
      </c>
      <c r="BO80" s="234">
        <v>0</v>
      </c>
      <c r="BP80" s="234">
        <v>-12347019</v>
      </c>
      <c r="BQ80" s="234">
        <v>0</v>
      </c>
      <c r="BR80" s="234">
        <v>0</v>
      </c>
      <c r="BS80" s="242">
        <v>-12347019</v>
      </c>
    </row>
    <row r="81" spans="1:71" s="202" customFormat="1" ht="30" customHeight="1" x14ac:dyDescent="0.3">
      <c r="A81" s="233">
        <v>11404</v>
      </c>
      <c r="B81" s="233" t="s">
        <v>108</v>
      </c>
      <c r="C81" s="233" t="s">
        <v>83</v>
      </c>
      <c r="D81" s="233">
        <v>16665</v>
      </c>
      <c r="E81" s="233">
        <v>2026</v>
      </c>
      <c r="F81" s="233" t="s">
        <v>275</v>
      </c>
      <c r="G81" s="233">
        <v>2</v>
      </c>
      <c r="H81" s="233">
        <v>6</v>
      </c>
      <c r="I81" s="233" t="s">
        <v>703</v>
      </c>
      <c r="J81" s="234">
        <v>0</v>
      </c>
      <c r="K81" s="234">
        <v>0</v>
      </c>
      <c r="L81" s="234">
        <v>0</v>
      </c>
      <c r="M81" s="234">
        <v>0</v>
      </c>
      <c r="N81" s="234">
        <v>0</v>
      </c>
      <c r="O81" s="234">
        <v>0</v>
      </c>
      <c r="P81" s="234">
        <v>0</v>
      </c>
      <c r="Q81" s="242">
        <v>0</v>
      </c>
      <c r="R81" s="234">
        <v>0</v>
      </c>
      <c r="S81" s="234">
        <v>0</v>
      </c>
      <c r="T81" s="234">
        <v>0</v>
      </c>
      <c r="U81" s="234">
        <v>0</v>
      </c>
      <c r="V81" s="234">
        <v>0</v>
      </c>
      <c r="W81" s="234">
        <v>0</v>
      </c>
      <c r="X81" s="242">
        <v>0</v>
      </c>
      <c r="Y81" s="234">
        <v>0</v>
      </c>
      <c r="Z81" s="242">
        <v>0</v>
      </c>
      <c r="AA81" s="242">
        <v>0</v>
      </c>
      <c r="AB81" s="234">
        <v>0</v>
      </c>
      <c r="AC81" s="234">
        <v>0</v>
      </c>
      <c r="AD81" s="234">
        <v>0</v>
      </c>
      <c r="AE81" s="234">
        <v>0</v>
      </c>
      <c r="AF81" s="242">
        <v>0</v>
      </c>
      <c r="AG81" s="234">
        <v>0</v>
      </c>
      <c r="AH81" s="234">
        <v>0</v>
      </c>
      <c r="AI81" s="234">
        <v>0</v>
      </c>
      <c r="AJ81" s="242">
        <v>0</v>
      </c>
      <c r="AK81" s="242">
        <v>0</v>
      </c>
      <c r="AL81" s="234">
        <v>0</v>
      </c>
      <c r="AM81" s="234">
        <v>0</v>
      </c>
      <c r="AN81" s="234">
        <v>0</v>
      </c>
      <c r="AO81" s="242">
        <v>0</v>
      </c>
      <c r="AP81" s="242">
        <v>0</v>
      </c>
      <c r="AQ81" s="234">
        <v>40364000</v>
      </c>
      <c r="AR81" s="234">
        <v>0</v>
      </c>
      <c r="AS81" s="234">
        <v>7868000</v>
      </c>
      <c r="AT81" s="234">
        <v>0</v>
      </c>
      <c r="AU81" s="234">
        <v>0</v>
      </c>
      <c r="AV81" s="234">
        <v>0</v>
      </c>
      <c r="AW81" s="242">
        <v>48232000</v>
      </c>
      <c r="AX81" s="234">
        <v>0</v>
      </c>
      <c r="AY81" s="234">
        <v>0</v>
      </c>
      <c r="AZ81" s="234">
        <v>0</v>
      </c>
      <c r="BA81" s="234">
        <v>0</v>
      </c>
      <c r="BB81" s="234">
        <v>0</v>
      </c>
      <c r="BC81" s="242">
        <v>0</v>
      </c>
      <c r="BD81" s="242">
        <v>48232000</v>
      </c>
      <c r="BE81" s="234">
        <v>29884000</v>
      </c>
      <c r="BF81" s="234">
        <v>0</v>
      </c>
      <c r="BG81" s="234">
        <v>713000</v>
      </c>
      <c r="BH81" s="234">
        <v>0</v>
      </c>
      <c r="BI81" s="234">
        <v>0</v>
      </c>
      <c r="BJ81" s="234">
        <v>36703000</v>
      </c>
      <c r="BK81" s="234">
        <v>0</v>
      </c>
      <c r="BL81" s="242">
        <v>67300000</v>
      </c>
      <c r="BM81" s="242">
        <v>-19068000</v>
      </c>
      <c r="BN81" s="234">
        <v>0</v>
      </c>
      <c r="BO81" s="234">
        <v>0</v>
      </c>
      <c r="BP81" s="234">
        <v>-19068000</v>
      </c>
      <c r="BQ81" s="234">
        <v>0</v>
      </c>
      <c r="BR81" s="234">
        <v>0</v>
      </c>
      <c r="BS81" s="242">
        <v>-19068000</v>
      </c>
    </row>
    <row r="82" spans="1:71" s="164" customFormat="1" ht="30" customHeight="1" x14ac:dyDescent="0.3">
      <c r="A82" s="238">
        <v>11408</v>
      </c>
      <c r="B82" s="238" t="s">
        <v>110</v>
      </c>
      <c r="C82" s="238" t="s">
        <v>83</v>
      </c>
      <c r="D82" s="238">
        <v>16665</v>
      </c>
      <c r="E82" s="238">
        <v>2026</v>
      </c>
      <c r="F82" s="238" t="s">
        <v>275</v>
      </c>
      <c r="G82" s="238">
        <v>2</v>
      </c>
      <c r="H82" s="238">
        <v>6</v>
      </c>
      <c r="I82" s="238" t="s">
        <v>703</v>
      </c>
      <c r="J82" s="239">
        <v>0</v>
      </c>
      <c r="K82" s="239">
        <v>0</v>
      </c>
      <c r="L82" s="239">
        <v>0</v>
      </c>
      <c r="M82" s="239">
        <v>0</v>
      </c>
      <c r="N82" s="239">
        <v>0</v>
      </c>
      <c r="O82" s="239">
        <v>0</v>
      </c>
      <c r="P82" s="239">
        <v>0</v>
      </c>
      <c r="Q82" s="242">
        <v>0</v>
      </c>
      <c r="R82" s="239">
        <v>0</v>
      </c>
      <c r="S82" s="239">
        <v>0</v>
      </c>
      <c r="T82" s="239">
        <v>0</v>
      </c>
      <c r="U82" s="239">
        <v>0</v>
      </c>
      <c r="V82" s="239">
        <v>0</v>
      </c>
      <c r="W82" s="239">
        <v>0</v>
      </c>
      <c r="X82" s="242">
        <v>0</v>
      </c>
      <c r="Y82" s="239">
        <v>0</v>
      </c>
      <c r="Z82" s="242">
        <v>0</v>
      </c>
      <c r="AA82" s="242">
        <v>0</v>
      </c>
      <c r="AB82" s="239">
        <v>0</v>
      </c>
      <c r="AC82" s="239">
        <v>0</v>
      </c>
      <c r="AD82" s="239">
        <v>0</v>
      </c>
      <c r="AE82" s="239">
        <v>0</v>
      </c>
      <c r="AF82" s="242">
        <v>0</v>
      </c>
      <c r="AG82" s="239">
        <v>0</v>
      </c>
      <c r="AH82" s="239">
        <v>0</v>
      </c>
      <c r="AI82" s="239">
        <v>0</v>
      </c>
      <c r="AJ82" s="242">
        <v>0</v>
      </c>
      <c r="AK82" s="242">
        <v>0</v>
      </c>
      <c r="AL82" s="239">
        <v>0</v>
      </c>
      <c r="AM82" s="239">
        <v>0</v>
      </c>
      <c r="AN82" s="239">
        <v>0</v>
      </c>
      <c r="AO82" s="242">
        <v>0</v>
      </c>
      <c r="AP82" s="242">
        <v>0</v>
      </c>
      <c r="AQ82" s="239">
        <v>34804000</v>
      </c>
      <c r="AR82" s="239">
        <v>0</v>
      </c>
      <c r="AS82" s="239">
        <v>1650000</v>
      </c>
      <c r="AT82" s="239">
        <v>0</v>
      </c>
      <c r="AU82" s="239">
        <v>0</v>
      </c>
      <c r="AV82" s="239">
        <v>0</v>
      </c>
      <c r="AW82" s="242">
        <v>36454000</v>
      </c>
      <c r="AX82" s="239">
        <v>0</v>
      </c>
      <c r="AY82" s="239">
        <v>0</v>
      </c>
      <c r="AZ82" s="239">
        <v>0</v>
      </c>
      <c r="BA82" s="239">
        <v>0</v>
      </c>
      <c r="BB82" s="239">
        <v>0</v>
      </c>
      <c r="BC82" s="242">
        <v>0</v>
      </c>
      <c r="BD82" s="242">
        <v>36454000</v>
      </c>
      <c r="BE82" s="239">
        <v>35957000</v>
      </c>
      <c r="BF82" s="239">
        <v>0</v>
      </c>
      <c r="BG82" s="239">
        <v>129000</v>
      </c>
      <c r="BH82" s="239">
        <v>0</v>
      </c>
      <c r="BI82" s="239">
        <v>0</v>
      </c>
      <c r="BJ82" s="239">
        <v>22673000</v>
      </c>
      <c r="BK82" s="239">
        <v>0</v>
      </c>
      <c r="BL82" s="242">
        <v>58759000</v>
      </c>
      <c r="BM82" s="242">
        <v>-22305000</v>
      </c>
      <c r="BN82" s="239">
        <v>238000</v>
      </c>
      <c r="BO82" s="239">
        <v>0</v>
      </c>
      <c r="BP82" s="239">
        <v>-22067000</v>
      </c>
      <c r="BQ82" s="239">
        <v>0</v>
      </c>
      <c r="BR82" s="239">
        <v>0</v>
      </c>
      <c r="BS82" s="242">
        <v>-22067000</v>
      </c>
    </row>
    <row r="83" spans="1:71" s="202" customFormat="1" ht="30" customHeight="1" x14ac:dyDescent="0.3">
      <c r="A83" s="233">
        <v>11490</v>
      </c>
      <c r="B83" s="233" t="s">
        <v>82</v>
      </c>
      <c r="C83" s="233" t="s">
        <v>83</v>
      </c>
      <c r="D83" s="233">
        <v>4066</v>
      </c>
      <c r="E83" s="233">
        <v>2026</v>
      </c>
      <c r="F83" s="233" t="s">
        <v>275</v>
      </c>
      <c r="G83" s="233">
        <v>2</v>
      </c>
      <c r="H83" s="233">
        <v>6</v>
      </c>
      <c r="I83" s="233" t="s">
        <v>703</v>
      </c>
      <c r="J83" s="234">
        <v>0</v>
      </c>
      <c r="K83" s="234">
        <v>0</v>
      </c>
      <c r="L83" s="234">
        <v>0</v>
      </c>
      <c r="M83" s="234">
        <v>0</v>
      </c>
      <c r="N83" s="234">
        <v>0</v>
      </c>
      <c r="O83" s="234">
        <v>0</v>
      </c>
      <c r="P83" s="234">
        <v>0</v>
      </c>
      <c r="Q83" s="242">
        <v>0</v>
      </c>
      <c r="R83" s="234">
        <v>0</v>
      </c>
      <c r="S83" s="234">
        <v>0</v>
      </c>
      <c r="T83" s="234">
        <v>0</v>
      </c>
      <c r="U83" s="234">
        <v>0</v>
      </c>
      <c r="V83" s="234">
        <v>0</v>
      </c>
      <c r="W83" s="234">
        <v>0</v>
      </c>
      <c r="X83" s="242">
        <v>0</v>
      </c>
      <c r="Y83" s="234">
        <v>0</v>
      </c>
      <c r="Z83" s="242">
        <v>0</v>
      </c>
      <c r="AA83" s="242">
        <v>0</v>
      </c>
      <c r="AB83" s="234">
        <v>0</v>
      </c>
      <c r="AC83" s="234">
        <v>0</v>
      </c>
      <c r="AD83" s="234">
        <v>0</v>
      </c>
      <c r="AE83" s="234">
        <v>0</v>
      </c>
      <c r="AF83" s="242">
        <v>0</v>
      </c>
      <c r="AG83" s="234">
        <v>0</v>
      </c>
      <c r="AH83" s="234">
        <v>0</v>
      </c>
      <c r="AI83" s="234">
        <v>0</v>
      </c>
      <c r="AJ83" s="242">
        <v>0</v>
      </c>
      <c r="AK83" s="242">
        <v>0</v>
      </c>
      <c r="AL83" s="234">
        <v>0</v>
      </c>
      <c r="AM83" s="234">
        <v>0</v>
      </c>
      <c r="AN83" s="234">
        <v>0</v>
      </c>
      <c r="AO83" s="242">
        <v>0</v>
      </c>
      <c r="AP83" s="242">
        <v>0</v>
      </c>
      <c r="AQ83" s="234">
        <v>128116000</v>
      </c>
      <c r="AR83" s="234">
        <v>0</v>
      </c>
      <c r="AS83" s="234">
        <v>121730000</v>
      </c>
      <c r="AT83" s="234">
        <v>0</v>
      </c>
      <c r="AU83" s="234">
        <v>0</v>
      </c>
      <c r="AV83" s="234">
        <v>204000</v>
      </c>
      <c r="AW83" s="242">
        <v>250050000</v>
      </c>
      <c r="AX83" s="234">
        <v>0</v>
      </c>
      <c r="AY83" s="234">
        <v>0</v>
      </c>
      <c r="AZ83" s="234">
        <v>0</v>
      </c>
      <c r="BA83" s="234">
        <v>0</v>
      </c>
      <c r="BB83" s="234">
        <v>0</v>
      </c>
      <c r="BC83" s="242">
        <v>0</v>
      </c>
      <c r="BD83" s="242">
        <v>250050000</v>
      </c>
      <c r="BE83" s="234">
        <v>246921000</v>
      </c>
      <c r="BF83" s="234">
        <v>0</v>
      </c>
      <c r="BG83" s="234">
        <v>675000</v>
      </c>
      <c r="BH83" s="234">
        <v>0</v>
      </c>
      <c r="BI83" s="234">
        <v>0</v>
      </c>
      <c r="BJ83" s="234">
        <v>53295000</v>
      </c>
      <c r="BK83" s="234">
        <v>171000</v>
      </c>
      <c r="BL83" s="242">
        <v>301062000</v>
      </c>
      <c r="BM83" s="242">
        <v>-51012000</v>
      </c>
      <c r="BN83" s="234">
        <v>50073000</v>
      </c>
      <c r="BO83" s="234">
        <v>0</v>
      </c>
      <c r="BP83" s="234">
        <v>-939000</v>
      </c>
      <c r="BQ83" s="234">
        <v>0</v>
      </c>
      <c r="BR83" s="234">
        <v>0</v>
      </c>
      <c r="BS83" s="242">
        <v>-939000</v>
      </c>
    </row>
    <row r="84" spans="1:71" s="164" customFormat="1" ht="30" customHeight="1" x14ac:dyDescent="0.3">
      <c r="A84" s="238">
        <v>11497</v>
      </c>
      <c r="B84" s="238" t="s">
        <v>172</v>
      </c>
      <c r="C84" s="238" t="s">
        <v>83</v>
      </c>
      <c r="D84" s="238">
        <v>4027</v>
      </c>
      <c r="E84" s="238">
        <v>2026</v>
      </c>
      <c r="F84" s="238" t="s">
        <v>275</v>
      </c>
      <c r="G84" s="238">
        <v>2</v>
      </c>
      <c r="H84" s="238">
        <v>6</v>
      </c>
      <c r="I84" s="238" t="s">
        <v>703</v>
      </c>
      <c r="J84" s="239">
        <v>0</v>
      </c>
      <c r="K84" s="239">
        <v>0</v>
      </c>
      <c r="L84" s="239">
        <v>0</v>
      </c>
      <c r="M84" s="239">
        <v>0</v>
      </c>
      <c r="N84" s="239">
        <v>0</v>
      </c>
      <c r="O84" s="239">
        <v>0</v>
      </c>
      <c r="P84" s="239">
        <v>0</v>
      </c>
      <c r="Q84" s="242">
        <v>0</v>
      </c>
      <c r="R84" s="239">
        <v>0</v>
      </c>
      <c r="S84" s="239">
        <v>0</v>
      </c>
      <c r="T84" s="239">
        <v>0</v>
      </c>
      <c r="U84" s="239">
        <v>0</v>
      </c>
      <c r="V84" s="239">
        <v>0</v>
      </c>
      <c r="W84" s="239">
        <v>0</v>
      </c>
      <c r="X84" s="242">
        <v>0</v>
      </c>
      <c r="Y84" s="239">
        <v>0</v>
      </c>
      <c r="Z84" s="242">
        <v>0</v>
      </c>
      <c r="AA84" s="242">
        <v>0</v>
      </c>
      <c r="AB84" s="239">
        <v>0</v>
      </c>
      <c r="AC84" s="239">
        <v>0</v>
      </c>
      <c r="AD84" s="239">
        <v>0</v>
      </c>
      <c r="AE84" s="239">
        <v>0</v>
      </c>
      <c r="AF84" s="242">
        <v>0</v>
      </c>
      <c r="AG84" s="239">
        <v>0</v>
      </c>
      <c r="AH84" s="239">
        <v>0</v>
      </c>
      <c r="AI84" s="239">
        <v>0</v>
      </c>
      <c r="AJ84" s="242">
        <v>0</v>
      </c>
      <c r="AK84" s="242">
        <v>0</v>
      </c>
      <c r="AL84" s="239">
        <v>0</v>
      </c>
      <c r="AM84" s="239">
        <v>0</v>
      </c>
      <c r="AN84" s="239">
        <v>0</v>
      </c>
      <c r="AO84" s="242">
        <v>0</v>
      </c>
      <c r="AP84" s="242">
        <v>0</v>
      </c>
      <c r="AQ84" s="239">
        <v>124611380.59</v>
      </c>
      <c r="AR84" s="239">
        <v>0</v>
      </c>
      <c r="AS84" s="239">
        <v>43488562.170000002</v>
      </c>
      <c r="AT84" s="239">
        <v>965128</v>
      </c>
      <c r="AU84" s="239">
        <v>0</v>
      </c>
      <c r="AV84" s="239">
        <v>0</v>
      </c>
      <c r="AW84" s="242">
        <v>169065070.75999999</v>
      </c>
      <c r="AX84" s="239">
        <v>0</v>
      </c>
      <c r="AY84" s="239">
        <v>0</v>
      </c>
      <c r="AZ84" s="239">
        <v>0</v>
      </c>
      <c r="BA84" s="239">
        <v>0</v>
      </c>
      <c r="BB84" s="239">
        <v>0</v>
      </c>
      <c r="BC84" s="242">
        <v>0</v>
      </c>
      <c r="BD84" s="242">
        <v>169065070.75999999</v>
      </c>
      <c r="BE84" s="239">
        <v>185910902.34999999</v>
      </c>
      <c r="BF84" s="239">
        <v>0</v>
      </c>
      <c r="BG84" s="239">
        <v>1312328.52</v>
      </c>
      <c r="BH84" s="239">
        <v>1514.44</v>
      </c>
      <c r="BI84" s="239">
        <v>0</v>
      </c>
      <c r="BJ84" s="239">
        <v>33842394.640000001</v>
      </c>
      <c r="BK84" s="239">
        <v>0</v>
      </c>
      <c r="BL84" s="242">
        <v>221067139.94999999</v>
      </c>
      <c r="BM84" s="242">
        <v>-52002069.189999998</v>
      </c>
      <c r="BN84" s="239">
        <v>52002069.189999998</v>
      </c>
      <c r="BO84" s="239">
        <v>0</v>
      </c>
      <c r="BP84" s="239">
        <v>2.9802322387695299E-8</v>
      </c>
      <c r="BQ84" s="239">
        <v>0</v>
      </c>
      <c r="BR84" s="239">
        <v>0</v>
      </c>
      <c r="BS84" s="242">
        <v>2.9802322387695299E-8</v>
      </c>
    </row>
    <row r="85" spans="1:71" s="202" customFormat="1" ht="30" customHeight="1" x14ac:dyDescent="0.3">
      <c r="A85" s="233">
        <v>11761</v>
      </c>
      <c r="B85" s="233" t="s">
        <v>103</v>
      </c>
      <c r="C85" s="233" t="s">
        <v>83</v>
      </c>
      <c r="D85" s="233">
        <v>16665</v>
      </c>
      <c r="E85" s="233">
        <v>2026</v>
      </c>
      <c r="F85" s="233" t="s">
        <v>275</v>
      </c>
      <c r="G85" s="233">
        <v>2</v>
      </c>
      <c r="H85" s="233">
        <v>6</v>
      </c>
      <c r="I85" s="233" t="s">
        <v>703</v>
      </c>
      <c r="J85" s="234">
        <v>0</v>
      </c>
      <c r="K85" s="234">
        <v>0</v>
      </c>
      <c r="L85" s="234">
        <v>0</v>
      </c>
      <c r="M85" s="234">
        <v>0</v>
      </c>
      <c r="N85" s="234">
        <v>0</v>
      </c>
      <c r="O85" s="234">
        <v>0</v>
      </c>
      <c r="P85" s="234">
        <v>0</v>
      </c>
      <c r="Q85" s="242">
        <v>0</v>
      </c>
      <c r="R85" s="234">
        <v>0</v>
      </c>
      <c r="S85" s="234">
        <v>0</v>
      </c>
      <c r="T85" s="234">
        <v>0</v>
      </c>
      <c r="U85" s="234">
        <v>0</v>
      </c>
      <c r="V85" s="234">
        <v>0</v>
      </c>
      <c r="W85" s="234">
        <v>0</v>
      </c>
      <c r="X85" s="242">
        <v>0</v>
      </c>
      <c r="Y85" s="234">
        <v>0</v>
      </c>
      <c r="Z85" s="242">
        <v>0</v>
      </c>
      <c r="AA85" s="242">
        <v>0</v>
      </c>
      <c r="AB85" s="234">
        <v>0</v>
      </c>
      <c r="AC85" s="234">
        <v>0</v>
      </c>
      <c r="AD85" s="234">
        <v>0</v>
      </c>
      <c r="AE85" s="234">
        <v>0</v>
      </c>
      <c r="AF85" s="242">
        <v>0</v>
      </c>
      <c r="AG85" s="234">
        <v>0</v>
      </c>
      <c r="AH85" s="234">
        <v>0</v>
      </c>
      <c r="AI85" s="234">
        <v>0</v>
      </c>
      <c r="AJ85" s="242">
        <v>0</v>
      </c>
      <c r="AK85" s="242">
        <v>0</v>
      </c>
      <c r="AL85" s="234">
        <v>0</v>
      </c>
      <c r="AM85" s="234">
        <v>0</v>
      </c>
      <c r="AN85" s="234">
        <v>0</v>
      </c>
      <c r="AO85" s="242">
        <v>0</v>
      </c>
      <c r="AP85" s="242">
        <v>0</v>
      </c>
      <c r="AQ85" s="234">
        <v>2501000</v>
      </c>
      <c r="AR85" s="234">
        <v>0</v>
      </c>
      <c r="AS85" s="234">
        <v>0</v>
      </c>
      <c r="AT85" s="234">
        <v>0</v>
      </c>
      <c r="AU85" s="234">
        <v>0</v>
      </c>
      <c r="AV85" s="234">
        <v>0</v>
      </c>
      <c r="AW85" s="242">
        <v>2501000</v>
      </c>
      <c r="AX85" s="234">
        <v>0</v>
      </c>
      <c r="AY85" s="234">
        <v>0</v>
      </c>
      <c r="AZ85" s="234">
        <v>0</v>
      </c>
      <c r="BA85" s="234">
        <v>-12000</v>
      </c>
      <c r="BB85" s="234">
        <v>0</v>
      </c>
      <c r="BC85" s="242">
        <v>-12000</v>
      </c>
      <c r="BD85" s="242">
        <v>2489000</v>
      </c>
      <c r="BE85" s="234">
        <v>4150000</v>
      </c>
      <c r="BF85" s="234">
        <v>0</v>
      </c>
      <c r="BG85" s="234">
        <v>25000</v>
      </c>
      <c r="BH85" s="234">
        <v>0</v>
      </c>
      <c r="BI85" s="234">
        <v>0</v>
      </c>
      <c r="BJ85" s="234">
        <v>438000</v>
      </c>
      <c r="BK85" s="234">
        <v>0</v>
      </c>
      <c r="BL85" s="242">
        <v>4613000</v>
      </c>
      <c r="BM85" s="242">
        <v>-2124000</v>
      </c>
      <c r="BN85" s="234">
        <v>0</v>
      </c>
      <c r="BO85" s="234">
        <v>0</v>
      </c>
      <c r="BP85" s="234">
        <v>-2124000</v>
      </c>
      <c r="BQ85" s="234">
        <v>0</v>
      </c>
      <c r="BR85" s="234">
        <v>0</v>
      </c>
      <c r="BS85" s="242">
        <v>-2124000</v>
      </c>
    </row>
    <row r="86" spans="1:71" s="164" customFormat="1" ht="30" customHeight="1" x14ac:dyDescent="0.3">
      <c r="A86" s="238">
        <v>11794</v>
      </c>
      <c r="B86" s="238" t="s">
        <v>88</v>
      </c>
      <c r="C86" s="238" t="s">
        <v>83</v>
      </c>
      <c r="D86" s="238">
        <v>3106</v>
      </c>
      <c r="E86" s="238">
        <v>2026</v>
      </c>
      <c r="F86" s="238" t="s">
        <v>275</v>
      </c>
      <c r="G86" s="238">
        <v>2</v>
      </c>
      <c r="H86" s="238">
        <v>6</v>
      </c>
      <c r="I86" s="238" t="s">
        <v>703</v>
      </c>
      <c r="J86" s="239">
        <v>0</v>
      </c>
      <c r="K86" s="239">
        <v>0</v>
      </c>
      <c r="L86" s="239">
        <v>0</v>
      </c>
      <c r="M86" s="239">
        <v>0</v>
      </c>
      <c r="N86" s="239">
        <v>0</v>
      </c>
      <c r="O86" s="239">
        <v>0</v>
      </c>
      <c r="P86" s="239">
        <v>0</v>
      </c>
      <c r="Q86" s="242">
        <v>0</v>
      </c>
      <c r="R86" s="239">
        <v>0</v>
      </c>
      <c r="S86" s="239">
        <v>0</v>
      </c>
      <c r="T86" s="239">
        <v>0</v>
      </c>
      <c r="U86" s="239">
        <v>0</v>
      </c>
      <c r="V86" s="239">
        <v>0</v>
      </c>
      <c r="W86" s="239">
        <v>0</v>
      </c>
      <c r="X86" s="242">
        <v>0</v>
      </c>
      <c r="Y86" s="239">
        <v>0</v>
      </c>
      <c r="Z86" s="242">
        <v>0</v>
      </c>
      <c r="AA86" s="242">
        <v>0</v>
      </c>
      <c r="AB86" s="239">
        <v>0</v>
      </c>
      <c r="AC86" s="239">
        <v>0</v>
      </c>
      <c r="AD86" s="239">
        <v>0</v>
      </c>
      <c r="AE86" s="239">
        <v>0</v>
      </c>
      <c r="AF86" s="242">
        <v>0</v>
      </c>
      <c r="AG86" s="239">
        <v>0</v>
      </c>
      <c r="AH86" s="239">
        <v>0</v>
      </c>
      <c r="AI86" s="239">
        <v>0</v>
      </c>
      <c r="AJ86" s="242">
        <v>0</v>
      </c>
      <c r="AK86" s="242">
        <v>0</v>
      </c>
      <c r="AL86" s="239">
        <v>0</v>
      </c>
      <c r="AM86" s="239">
        <v>0</v>
      </c>
      <c r="AN86" s="239">
        <v>0</v>
      </c>
      <c r="AO86" s="242">
        <v>0</v>
      </c>
      <c r="AP86" s="242">
        <v>0</v>
      </c>
      <c r="AQ86" s="239">
        <v>28015653</v>
      </c>
      <c r="AR86" s="239">
        <v>1415878</v>
      </c>
      <c r="AS86" s="239">
        <v>2285109</v>
      </c>
      <c r="AT86" s="239">
        <v>0</v>
      </c>
      <c r="AU86" s="239">
        <v>0</v>
      </c>
      <c r="AV86" s="239">
        <v>0</v>
      </c>
      <c r="AW86" s="242">
        <v>31716640</v>
      </c>
      <c r="AX86" s="239">
        <v>0</v>
      </c>
      <c r="AY86" s="239">
        <v>0</v>
      </c>
      <c r="AZ86" s="239">
        <v>0</v>
      </c>
      <c r="BA86" s="239">
        <v>0</v>
      </c>
      <c r="BB86" s="239">
        <v>0</v>
      </c>
      <c r="BC86" s="242">
        <v>0</v>
      </c>
      <c r="BD86" s="242">
        <v>31716640</v>
      </c>
      <c r="BE86" s="239">
        <v>42767187</v>
      </c>
      <c r="BF86" s="239">
        <v>0</v>
      </c>
      <c r="BG86" s="239">
        <v>0</v>
      </c>
      <c r="BH86" s="239">
        <v>0</v>
      </c>
      <c r="BI86" s="239">
        <v>0</v>
      </c>
      <c r="BJ86" s="239">
        <v>11870285</v>
      </c>
      <c r="BK86" s="239">
        <v>0</v>
      </c>
      <c r="BL86" s="242">
        <v>54637472</v>
      </c>
      <c r="BM86" s="242">
        <v>-22920832</v>
      </c>
      <c r="BN86" s="239">
        <v>0</v>
      </c>
      <c r="BO86" s="239">
        <v>0</v>
      </c>
      <c r="BP86" s="239">
        <v>-22920832</v>
      </c>
      <c r="BQ86" s="239">
        <v>0</v>
      </c>
      <c r="BR86" s="239">
        <v>0</v>
      </c>
      <c r="BS86" s="242">
        <v>-22920832</v>
      </c>
    </row>
    <row r="87" spans="1:71" s="202" customFormat="1" ht="30" customHeight="1" x14ac:dyDescent="0.3">
      <c r="A87" s="233">
        <v>11801</v>
      </c>
      <c r="B87" s="233" t="s">
        <v>102</v>
      </c>
      <c r="C87" s="233" t="s">
        <v>83</v>
      </c>
      <c r="D87" s="233">
        <v>16665</v>
      </c>
      <c r="E87" s="233">
        <v>2026</v>
      </c>
      <c r="F87" s="233" t="s">
        <v>275</v>
      </c>
      <c r="G87" s="233">
        <v>2</v>
      </c>
      <c r="H87" s="233">
        <v>6</v>
      </c>
      <c r="I87" s="233" t="s">
        <v>703</v>
      </c>
      <c r="J87" s="234">
        <v>0</v>
      </c>
      <c r="K87" s="234">
        <v>0</v>
      </c>
      <c r="L87" s="234">
        <v>0</v>
      </c>
      <c r="M87" s="234">
        <v>0</v>
      </c>
      <c r="N87" s="234">
        <v>0</v>
      </c>
      <c r="O87" s="234">
        <v>0</v>
      </c>
      <c r="P87" s="234">
        <v>0</v>
      </c>
      <c r="Q87" s="242">
        <v>0</v>
      </c>
      <c r="R87" s="234">
        <v>0</v>
      </c>
      <c r="S87" s="234">
        <v>0</v>
      </c>
      <c r="T87" s="234">
        <v>0</v>
      </c>
      <c r="U87" s="234">
        <v>0</v>
      </c>
      <c r="V87" s="234">
        <v>0</v>
      </c>
      <c r="W87" s="234">
        <v>0</v>
      </c>
      <c r="X87" s="242">
        <v>0</v>
      </c>
      <c r="Y87" s="234">
        <v>0</v>
      </c>
      <c r="Z87" s="242">
        <v>0</v>
      </c>
      <c r="AA87" s="242">
        <v>0</v>
      </c>
      <c r="AB87" s="234">
        <v>0</v>
      </c>
      <c r="AC87" s="234">
        <v>0</v>
      </c>
      <c r="AD87" s="234">
        <v>0</v>
      </c>
      <c r="AE87" s="234">
        <v>0</v>
      </c>
      <c r="AF87" s="242">
        <v>0</v>
      </c>
      <c r="AG87" s="234">
        <v>0</v>
      </c>
      <c r="AH87" s="234">
        <v>0</v>
      </c>
      <c r="AI87" s="234">
        <v>0</v>
      </c>
      <c r="AJ87" s="242">
        <v>0</v>
      </c>
      <c r="AK87" s="242">
        <v>0</v>
      </c>
      <c r="AL87" s="234">
        <v>0</v>
      </c>
      <c r="AM87" s="234">
        <v>0</v>
      </c>
      <c r="AN87" s="234">
        <v>0</v>
      </c>
      <c r="AO87" s="242">
        <v>0</v>
      </c>
      <c r="AP87" s="242">
        <v>0</v>
      </c>
      <c r="AQ87" s="234">
        <v>64677000</v>
      </c>
      <c r="AR87" s="234">
        <v>0</v>
      </c>
      <c r="AS87" s="234">
        <v>1743000</v>
      </c>
      <c r="AT87" s="234">
        <v>0</v>
      </c>
      <c r="AU87" s="234">
        <v>0</v>
      </c>
      <c r="AV87" s="234">
        <v>0</v>
      </c>
      <c r="AW87" s="242">
        <v>66420000</v>
      </c>
      <c r="AX87" s="234">
        <v>0</v>
      </c>
      <c r="AY87" s="234">
        <v>0</v>
      </c>
      <c r="AZ87" s="234">
        <v>0</v>
      </c>
      <c r="BA87" s="234">
        <v>0</v>
      </c>
      <c r="BB87" s="234">
        <v>0</v>
      </c>
      <c r="BC87" s="242">
        <v>0</v>
      </c>
      <c r="BD87" s="242">
        <v>66420000</v>
      </c>
      <c r="BE87" s="234">
        <v>74404000</v>
      </c>
      <c r="BF87" s="234">
        <v>0</v>
      </c>
      <c r="BG87" s="234">
        <v>1645000</v>
      </c>
      <c r="BH87" s="234">
        <v>0</v>
      </c>
      <c r="BI87" s="234">
        <v>0</v>
      </c>
      <c r="BJ87" s="234">
        <v>23294000</v>
      </c>
      <c r="BK87" s="234">
        <v>0</v>
      </c>
      <c r="BL87" s="242">
        <v>99343000</v>
      </c>
      <c r="BM87" s="242">
        <v>-32923000</v>
      </c>
      <c r="BN87" s="234">
        <v>32923000</v>
      </c>
      <c r="BO87" s="234">
        <v>0</v>
      </c>
      <c r="BP87" s="234">
        <v>0</v>
      </c>
      <c r="BQ87" s="234">
        <v>0</v>
      </c>
      <c r="BR87" s="234">
        <v>0</v>
      </c>
      <c r="BS87" s="242">
        <v>0</v>
      </c>
    </row>
    <row r="88" spans="1:71" s="164" customFormat="1" ht="30" customHeight="1" x14ac:dyDescent="0.3">
      <c r="A88" s="233">
        <v>11810</v>
      </c>
      <c r="B88" s="233" t="s">
        <v>126</v>
      </c>
      <c r="C88" s="233" t="s">
        <v>83</v>
      </c>
      <c r="D88" s="233">
        <v>3109</v>
      </c>
      <c r="E88" s="233">
        <v>2026</v>
      </c>
      <c r="F88" s="233" t="s">
        <v>275</v>
      </c>
      <c r="G88" s="233">
        <v>2</v>
      </c>
      <c r="H88" s="233">
        <v>6</v>
      </c>
      <c r="I88" s="233" t="s">
        <v>703</v>
      </c>
      <c r="J88" s="234">
        <v>0</v>
      </c>
      <c r="K88" s="234">
        <v>0</v>
      </c>
      <c r="L88" s="234">
        <v>0</v>
      </c>
      <c r="M88" s="234">
        <v>0</v>
      </c>
      <c r="N88" s="234">
        <v>0</v>
      </c>
      <c r="O88" s="234">
        <v>0</v>
      </c>
      <c r="P88" s="234">
        <v>0</v>
      </c>
      <c r="Q88" s="242">
        <v>0</v>
      </c>
      <c r="R88" s="234">
        <v>0</v>
      </c>
      <c r="S88" s="234">
        <v>0</v>
      </c>
      <c r="T88" s="234">
        <v>0</v>
      </c>
      <c r="U88" s="234">
        <v>0</v>
      </c>
      <c r="V88" s="234">
        <v>0</v>
      </c>
      <c r="W88" s="234">
        <v>0</v>
      </c>
      <c r="X88" s="242">
        <v>0</v>
      </c>
      <c r="Y88" s="234">
        <v>0</v>
      </c>
      <c r="Z88" s="242">
        <v>0</v>
      </c>
      <c r="AA88" s="242">
        <v>0</v>
      </c>
      <c r="AB88" s="234">
        <v>0</v>
      </c>
      <c r="AC88" s="234">
        <v>0</v>
      </c>
      <c r="AD88" s="234">
        <v>0</v>
      </c>
      <c r="AE88" s="234">
        <v>0</v>
      </c>
      <c r="AF88" s="242">
        <v>0</v>
      </c>
      <c r="AG88" s="234">
        <v>0</v>
      </c>
      <c r="AH88" s="234">
        <v>0</v>
      </c>
      <c r="AI88" s="234">
        <v>0</v>
      </c>
      <c r="AJ88" s="242">
        <v>0</v>
      </c>
      <c r="AK88" s="242">
        <v>0</v>
      </c>
      <c r="AL88" s="234">
        <v>0</v>
      </c>
      <c r="AM88" s="234">
        <v>0</v>
      </c>
      <c r="AN88" s="234">
        <v>0</v>
      </c>
      <c r="AO88" s="242">
        <v>0</v>
      </c>
      <c r="AP88" s="242">
        <v>0</v>
      </c>
      <c r="AQ88" s="234">
        <v>55288370</v>
      </c>
      <c r="AR88" s="234">
        <v>0</v>
      </c>
      <c r="AS88" s="234">
        <v>961617</v>
      </c>
      <c r="AT88" s="234">
        <v>0</v>
      </c>
      <c r="AU88" s="234">
        <v>0</v>
      </c>
      <c r="AV88" s="234">
        <v>0</v>
      </c>
      <c r="AW88" s="242">
        <v>56249987</v>
      </c>
      <c r="AX88" s="234">
        <v>0</v>
      </c>
      <c r="AY88" s="234">
        <v>0</v>
      </c>
      <c r="AZ88" s="234"/>
      <c r="BA88" s="234">
        <v>0</v>
      </c>
      <c r="BB88" s="234">
        <v>0</v>
      </c>
      <c r="BC88" s="242">
        <v>0</v>
      </c>
      <c r="BD88" s="242">
        <v>56249987</v>
      </c>
      <c r="BE88" s="234">
        <v>61040465</v>
      </c>
      <c r="BF88" s="234">
        <v>0</v>
      </c>
      <c r="BG88" s="234">
        <v>141901</v>
      </c>
      <c r="BH88" s="234">
        <v>0</v>
      </c>
      <c r="BI88" s="234">
        <v>0</v>
      </c>
      <c r="BJ88" s="234">
        <v>18738075</v>
      </c>
      <c r="BK88" s="234">
        <v>0</v>
      </c>
      <c r="BL88" s="242">
        <v>79920441</v>
      </c>
      <c r="BM88" s="242">
        <v>-23670454</v>
      </c>
      <c r="BN88" s="234">
        <v>23670454</v>
      </c>
      <c r="BO88" s="234">
        <v>0</v>
      </c>
      <c r="BP88" s="234">
        <v>0</v>
      </c>
      <c r="BQ88" s="234">
        <v>0</v>
      </c>
      <c r="BR88" s="234">
        <v>0</v>
      </c>
      <c r="BS88" s="242">
        <v>0</v>
      </c>
    </row>
    <row r="89" spans="1:71" s="202" customFormat="1" ht="30" customHeight="1" x14ac:dyDescent="0.3">
      <c r="A89" s="238">
        <v>11915</v>
      </c>
      <c r="B89" s="238" t="s">
        <v>111</v>
      </c>
      <c r="C89" s="238" t="s">
        <v>83</v>
      </c>
      <c r="D89" s="238">
        <v>16665</v>
      </c>
      <c r="E89" s="238">
        <v>2026</v>
      </c>
      <c r="F89" s="238" t="s">
        <v>275</v>
      </c>
      <c r="G89" s="238">
        <v>2</v>
      </c>
      <c r="H89" s="238">
        <v>6</v>
      </c>
      <c r="I89" s="238" t="s">
        <v>703</v>
      </c>
      <c r="J89" s="239">
        <v>0</v>
      </c>
      <c r="K89" s="239">
        <v>0</v>
      </c>
      <c r="L89" s="239">
        <v>0</v>
      </c>
      <c r="M89" s="239">
        <v>0</v>
      </c>
      <c r="N89" s="239">
        <v>0</v>
      </c>
      <c r="O89" s="239">
        <v>0</v>
      </c>
      <c r="P89" s="239">
        <v>0</v>
      </c>
      <c r="Q89" s="242">
        <v>0</v>
      </c>
      <c r="R89" s="239">
        <v>0</v>
      </c>
      <c r="S89" s="239">
        <v>0</v>
      </c>
      <c r="T89" s="239">
        <v>0</v>
      </c>
      <c r="U89" s="239">
        <v>0</v>
      </c>
      <c r="V89" s="239">
        <v>0</v>
      </c>
      <c r="W89" s="239">
        <v>0</v>
      </c>
      <c r="X89" s="242">
        <v>0</v>
      </c>
      <c r="Y89" s="239">
        <v>0</v>
      </c>
      <c r="Z89" s="242">
        <v>0</v>
      </c>
      <c r="AA89" s="242">
        <v>0</v>
      </c>
      <c r="AB89" s="239">
        <v>0</v>
      </c>
      <c r="AC89" s="239">
        <v>0</v>
      </c>
      <c r="AD89" s="239">
        <v>0</v>
      </c>
      <c r="AE89" s="239">
        <v>0</v>
      </c>
      <c r="AF89" s="242">
        <v>0</v>
      </c>
      <c r="AG89" s="239">
        <v>0</v>
      </c>
      <c r="AH89" s="239">
        <v>0</v>
      </c>
      <c r="AI89" s="239">
        <v>0</v>
      </c>
      <c r="AJ89" s="242">
        <v>0</v>
      </c>
      <c r="AK89" s="242">
        <v>0</v>
      </c>
      <c r="AL89" s="239">
        <v>0</v>
      </c>
      <c r="AM89" s="239">
        <v>0</v>
      </c>
      <c r="AN89" s="239">
        <v>0</v>
      </c>
      <c r="AO89" s="242">
        <v>0</v>
      </c>
      <c r="AP89" s="242">
        <v>0</v>
      </c>
      <c r="AQ89" s="239">
        <v>6536000</v>
      </c>
      <c r="AR89" s="239">
        <v>0</v>
      </c>
      <c r="AS89" s="239">
        <v>351000</v>
      </c>
      <c r="AT89" s="239">
        <v>0</v>
      </c>
      <c r="AU89" s="239">
        <v>0</v>
      </c>
      <c r="AV89" s="239">
        <v>0</v>
      </c>
      <c r="AW89" s="242">
        <v>6887000</v>
      </c>
      <c r="AX89" s="239">
        <v>0</v>
      </c>
      <c r="AY89" s="239">
        <v>0</v>
      </c>
      <c r="AZ89" s="239">
        <v>0</v>
      </c>
      <c r="BA89" s="239">
        <v>0</v>
      </c>
      <c r="BB89" s="239">
        <v>0</v>
      </c>
      <c r="BC89" s="242">
        <v>0</v>
      </c>
      <c r="BD89" s="242">
        <v>6887000</v>
      </c>
      <c r="BE89" s="239">
        <v>7192000</v>
      </c>
      <c r="BF89" s="239">
        <v>0</v>
      </c>
      <c r="BG89" s="239">
        <v>101000</v>
      </c>
      <c r="BH89" s="239">
        <v>0</v>
      </c>
      <c r="BI89" s="239">
        <v>0</v>
      </c>
      <c r="BJ89" s="239">
        <v>2793000</v>
      </c>
      <c r="BK89" s="239">
        <v>0</v>
      </c>
      <c r="BL89" s="242">
        <v>10086000</v>
      </c>
      <c r="BM89" s="242">
        <v>-3199000</v>
      </c>
      <c r="BN89" s="239">
        <v>-4000</v>
      </c>
      <c r="BO89" s="239">
        <v>0</v>
      </c>
      <c r="BP89" s="239">
        <v>-3203000</v>
      </c>
      <c r="BQ89" s="239">
        <v>0</v>
      </c>
      <c r="BR89" s="239">
        <v>0</v>
      </c>
      <c r="BS89" s="242">
        <v>-3203000</v>
      </c>
    </row>
    <row r="90" spans="1:71" s="164" customFormat="1" ht="30" customHeight="1" x14ac:dyDescent="0.3">
      <c r="A90" s="233">
        <v>12022</v>
      </c>
      <c r="B90" s="233" t="s">
        <v>112</v>
      </c>
      <c r="C90" s="233" t="s">
        <v>83</v>
      </c>
      <c r="D90" s="233">
        <v>16665</v>
      </c>
      <c r="E90" s="233">
        <v>2026</v>
      </c>
      <c r="F90" s="233" t="s">
        <v>275</v>
      </c>
      <c r="G90" s="233">
        <v>2</v>
      </c>
      <c r="H90" s="233">
        <v>6</v>
      </c>
      <c r="I90" s="233" t="s">
        <v>703</v>
      </c>
      <c r="J90" s="234">
        <v>0</v>
      </c>
      <c r="K90" s="234">
        <v>0</v>
      </c>
      <c r="L90" s="234">
        <v>0</v>
      </c>
      <c r="M90" s="234">
        <v>0</v>
      </c>
      <c r="N90" s="234">
        <v>0</v>
      </c>
      <c r="O90" s="234">
        <v>0</v>
      </c>
      <c r="P90" s="234">
        <v>0</v>
      </c>
      <c r="Q90" s="242">
        <v>0</v>
      </c>
      <c r="R90" s="234">
        <v>0</v>
      </c>
      <c r="S90" s="234">
        <v>0</v>
      </c>
      <c r="T90" s="234">
        <v>0</v>
      </c>
      <c r="U90" s="234">
        <v>0</v>
      </c>
      <c r="V90" s="234">
        <v>0</v>
      </c>
      <c r="W90" s="234">
        <v>0</v>
      </c>
      <c r="X90" s="242">
        <v>0</v>
      </c>
      <c r="Y90" s="234">
        <v>0</v>
      </c>
      <c r="Z90" s="242">
        <v>0</v>
      </c>
      <c r="AA90" s="242">
        <v>0</v>
      </c>
      <c r="AB90" s="234">
        <v>0</v>
      </c>
      <c r="AC90" s="234">
        <v>0</v>
      </c>
      <c r="AD90" s="234">
        <v>0</v>
      </c>
      <c r="AE90" s="234">
        <v>0</v>
      </c>
      <c r="AF90" s="242">
        <v>0</v>
      </c>
      <c r="AG90" s="234">
        <v>0</v>
      </c>
      <c r="AH90" s="234">
        <v>0</v>
      </c>
      <c r="AI90" s="234">
        <v>0</v>
      </c>
      <c r="AJ90" s="242">
        <v>0</v>
      </c>
      <c r="AK90" s="242">
        <v>0</v>
      </c>
      <c r="AL90" s="234">
        <v>0</v>
      </c>
      <c r="AM90" s="234">
        <v>0</v>
      </c>
      <c r="AN90" s="234">
        <v>0</v>
      </c>
      <c r="AO90" s="242">
        <v>0</v>
      </c>
      <c r="AP90" s="242">
        <v>0</v>
      </c>
      <c r="AQ90" s="234">
        <v>-130000</v>
      </c>
      <c r="AR90" s="234">
        <v>0</v>
      </c>
      <c r="AS90" s="234">
        <v>0</v>
      </c>
      <c r="AT90" s="234">
        <v>0</v>
      </c>
      <c r="AU90" s="234">
        <v>0</v>
      </c>
      <c r="AV90" s="234">
        <v>0</v>
      </c>
      <c r="AW90" s="242">
        <v>-130000</v>
      </c>
      <c r="AX90" s="234">
        <v>0</v>
      </c>
      <c r="AY90" s="234">
        <v>0</v>
      </c>
      <c r="AZ90" s="234">
        <v>0</v>
      </c>
      <c r="BA90" s="234">
        <v>0</v>
      </c>
      <c r="BB90" s="234">
        <v>0</v>
      </c>
      <c r="BC90" s="242">
        <v>0</v>
      </c>
      <c r="BD90" s="242">
        <v>-130000</v>
      </c>
      <c r="BE90" s="234">
        <v>0</v>
      </c>
      <c r="BF90" s="234">
        <v>0</v>
      </c>
      <c r="BG90" s="234">
        <v>0</v>
      </c>
      <c r="BH90" s="234">
        <v>0</v>
      </c>
      <c r="BI90" s="234">
        <v>0</v>
      </c>
      <c r="BJ90" s="234">
        <v>0</v>
      </c>
      <c r="BK90" s="234">
        <v>0</v>
      </c>
      <c r="BL90" s="242">
        <v>0</v>
      </c>
      <c r="BM90" s="242">
        <v>-130000</v>
      </c>
      <c r="BN90" s="234">
        <v>0</v>
      </c>
      <c r="BO90" s="234">
        <v>0</v>
      </c>
      <c r="BP90" s="234">
        <v>-130000</v>
      </c>
      <c r="BQ90" s="234">
        <v>0</v>
      </c>
      <c r="BR90" s="234">
        <v>0</v>
      </c>
      <c r="BS90" s="242">
        <v>-130000</v>
      </c>
    </row>
    <row r="91" spans="1:71" s="202" customFormat="1" ht="30" customHeight="1" x14ac:dyDescent="0.3">
      <c r="A91" s="233">
        <v>12037</v>
      </c>
      <c r="B91" s="233" t="s">
        <v>105</v>
      </c>
      <c r="C91" s="233" t="s">
        <v>83</v>
      </c>
      <c r="D91" s="233">
        <v>16665</v>
      </c>
      <c r="E91" s="233">
        <v>2026</v>
      </c>
      <c r="F91" s="233" t="s">
        <v>275</v>
      </c>
      <c r="G91" s="233">
        <v>2</v>
      </c>
      <c r="H91" s="233">
        <v>6</v>
      </c>
      <c r="I91" s="233" t="s">
        <v>703</v>
      </c>
      <c r="J91" s="234">
        <v>0</v>
      </c>
      <c r="K91" s="234">
        <v>0</v>
      </c>
      <c r="L91" s="234">
        <v>0</v>
      </c>
      <c r="M91" s="234">
        <v>0</v>
      </c>
      <c r="N91" s="234">
        <v>0</v>
      </c>
      <c r="O91" s="234">
        <v>0</v>
      </c>
      <c r="P91" s="234">
        <v>0</v>
      </c>
      <c r="Q91" s="242">
        <v>0</v>
      </c>
      <c r="R91" s="234">
        <v>0</v>
      </c>
      <c r="S91" s="234">
        <v>0</v>
      </c>
      <c r="T91" s="234">
        <v>0</v>
      </c>
      <c r="U91" s="234">
        <v>0</v>
      </c>
      <c r="V91" s="234">
        <v>0</v>
      </c>
      <c r="W91" s="234">
        <v>0</v>
      </c>
      <c r="X91" s="242">
        <v>0</v>
      </c>
      <c r="Y91" s="234">
        <v>0</v>
      </c>
      <c r="Z91" s="242">
        <v>0</v>
      </c>
      <c r="AA91" s="242">
        <v>0</v>
      </c>
      <c r="AB91" s="234">
        <v>0</v>
      </c>
      <c r="AC91" s="234">
        <v>0</v>
      </c>
      <c r="AD91" s="234">
        <v>0</v>
      </c>
      <c r="AE91" s="234">
        <v>0</v>
      </c>
      <c r="AF91" s="242">
        <v>0</v>
      </c>
      <c r="AG91" s="234">
        <v>0</v>
      </c>
      <c r="AH91" s="234">
        <v>0</v>
      </c>
      <c r="AI91" s="234">
        <v>0</v>
      </c>
      <c r="AJ91" s="242">
        <v>0</v>
      </c>
      <c r="AK91" s="242">
        <v>0</v>
      </c>
      <c r="AL91" s="234">
        <v>0</v>
      </c>
      <c r="AM91" s="234">
        <v>0</v>
      </c>
      <c r="AN91" s="234">
        <v>0</v>
      </c>
      <c r="AO91" s="242">
        <v>0</v>
      </c>
      <c r="AP91" s="242">
        <v>0</v>
      </c>
      <c r="AQ91" s="234">
        <v>20448000</v>
      </c>
      <c r="AR91" s="234">
        <v>0</v>
      </c>
      <c r="AS91" s="234">
        <v>3136000</v>
      </c>
      <c r="AT91" s="234">
        <v>0</v>
      </c>
      <c r="AU91" s="234">
        <v>0</v>
      </c>
      <c r="AV91" s="234">
        <v>0</v>
      </c>
      <c r="AW91" s="242">
        <v>23584000</v>
      </c>
      <c r="AX91" s="234">
        <v>0</v>
      </c>
      <c r="AY91" s="234">
        <v>0</v>
      </c>
      <c r="AZ91" s="234">
        <v>0</v>
      </c>
      <c r="BA91" s="234">
        <v>0</v>
      </c>
      <c r="BB91" s="234">
        <v>0</v>
      </c>
      <c r="BC91" s="242">
        <v>0</v>
      </c>
      <c r="BD91" s="242">
        <v>23584000</v>
      </c>
      <c r="BE91" s="234">
        <v>28345000</v>
      </c>
      <c r="BF91" s="234">
        <v>0</v>
      </c>
      <c r="BG91" s="234">
        <v>374000</v>
      </c>
      <c r="BH91" s="234">
        <v>0</v>
      </c>
      <c r="BI91" s="234">
        <v>0</v>
      </c>
      <c r="BJ91" s="234">
        <v>7845000</v>
      </c>
      <c r="BK91" s="234">
        <v>0</v>
      </c>
      <c r="BL91" s="242">
        <v>36564000</v>
      </c>
      <c r="BM91" s="242">
        <v>-12980000</v>
      </c>
      <c r="BN91" s="234">
        <v>0</v>
      </c>
      <c r="BO91" s="234">
        <v>0</v>
      </c>
      <c r="BP91" s="234">
        <v>-12980000</v>
      </c>
      <c r="BQ91" s="234">
        <v>0</v>
      </c>
      <c r="BR91" s="234">
        <v>0</v>
      </c>
      <c r="BS91" s="242">
        <v>-12980000</v>
      </c>
    </row>
    <row r="92" spans="1:71" s="164" customFormat="1" ht="30" customHeight="1" x14ac:dyDescent="0.3">
      <c r="A92" s="233">
        <v>12118</v>
      </c>
      <c r="B92" s="233" t="s">
        <v>89</v>
      </c>
      <c r="C92" s="233" t="s">
        <v>83</v>
      </c>
      <c r="D92" s="233">
        <v>3106</v>
      </c>
      <c r="E92" s="233">
        <v>2026</v>
      </c>
      <c r="F92" s="233" t="s">
        <v>275</v>
      </c>
      <c r="G92" s="233">
        <v>2</v>
      </c>
      <c r="H92" s="233">
        <v>6</v>
      </c>
      <c r="I92" s="233" t="s">
        <v>703</v>
      </c>
      <c r="J92" s="234">
        <v>0</v>
      </c>
      <c r="K92" s="234">
        <v>0</v>
      </c>
      <c r="L92" s="234">
        <v>0</v>
      </c>
      <c r="M92" s="234">
        <v>0</v>
      </c>
      <c r="N92" s="234">
        <v>0</v>
      </c>
      <c r="O92" s="234">
        <v>0</v>
      </c>
      <c r="P92" s="234">
        <v>0</v>
      </c>
      <c r="Q92" s="242">
        <v>0</v>
      </c>
      <c r="R92" s="234">
        <v>0</v>
      </c>
      <c r="S92" s="234">
        <v>0</v>
      </c>
      <c r="T92" s="234">
        <v>0</v>
      </c>
      <c r="U92" s="234">
        <v>0</v>
      </c>
      <c r="V92" s="234">
        <v>0</v>
      </c>
      <c r="W92" s="234">
        <v>0</v>
      </c>
      <c r="X92" s="242">
        <v>0</v>
      </c>
      <c r="Y92" s="234">
        <v>0</v>
      </c>
      <c r="Z92" s="242">
        <v>0</v>
      </c>
      <c r="AA92" s="242">
        <v>0</v>
      </c>
      <c r="AB92" s="234">
        <v>0</v>
      </c>
      <c r="AC92" s="234">
        <v>0</v>
      </c>
      <c r="AD92" s="234">
        <v>0</v>
      </c>
      <c r="AE92" s="234">
        <v>0</v>
      </c>
      <c r="AF92" s="242">
        <v>0</v>
      </c>
      <c r="AG92" s="234">
        <v>0</v>
      </c>
      <c r="AH92" s="234">
        <v>0</v>
      </c>
      <c r="AI92" s="234">
        <v>0</v>
      </c>
      <c r="AJ92" s="242">
        <v>0</v>
      </c>
      <c r="AK92" s="242">
        <v>0</v>
      </c>
      <c r="AL92" s="234">
        <v>0</v>
      </c>
      <c r="AM92" s="234">
        <v>0</v>
      </c>
      <c r="AN92" s="234">
        <v>0</v>
      </c>
      <c r="AO92" s="242">
        <v>0</v>
      </c>
      <c r="AP92" s="242">
        <v>0</v>
      </c>
      <c r="AQ92" s="234">
        <v>900256</v>
      </c>
      <c r="AR92" s="234">
        <v>0</v>
      </c>
      <c r="AS92" s="234">
        <v>4020</v>
      </c>
      <c r="AT92" s="234">
        <v>0</v>
      </c>
      <c r="AU92" s="234">
        <v>0</v>
      </c>
      <c r="AV92" s="234">
        <v>0</v>
      </c>
      <c r="AW92" s="242">
        <v>904276</v>
      </c>
      <c r="AX92" s="234">
        <v>0</v>
      </c>
      <c r="AY92" s="234">
        <v>0</v>
      </c>
      <c r="AZ92" s="234">
        <v>0</v>
      </c>
      <c r="BA92" s="234">
        <v>0</v>
      </c>
      <c r="BB92" s="234">
        <v>0</v>
      </c>
      <c r="BC92" s="242">
        <v>0</v>
      </c>
      <c r="BD92" s="242">
        <v>904276</v>
      </c>
      <c r="BE92" s="234">
        <v>1135374</v>
      </c>
      <c r="BF92" s="234">
        <v>0</v>
      </c>
      <c r="BG92" s="234">
        <v>0</v>
      </c>
      <c r="BH92" s="234">
        <v>0</v>
      </c>
      <c r="BI92" s="234">
        <v>0</v>
      </c>
      <c r="BJ92" s="234">
        <v>238357</v>
      </c>
      <c r="BK92" s="234">
        <v>0</v>
      </c>
      <c r="BL92" s="242">
        <v>1373731</v>
      </c>
      <c r="BM92" s="242">
        <v>-469455</v>
      </c>
      <c r="BN92" s="234">
        <v>0</v>
      </c>
      <c r="BO92" s="234">
        <v>0</v>
      </c>
      <c r="BP92" s="234">
        <v>-469455</v>
      </c>
      <c r="BQ92" s="234">
        <v>0</v>
      </c>
      <c r="BR92" s="234">
        <v>0</v>
      </c>
      <c r="BS92" s="242">
        <v>-469455</v>
      </c>
    </row>
    <row r="93" spans="1:71" s="202" customFormat="1" ht="30" customHeight="1" x14ac:dyDescent="0.3">
      <c r="A93" s="238">
        <v>12151</v>
      </c>
      <c r="B93" s="238" t="s">
        <v>185</v>
      </c>
      <c r="C93" s="238" t="s">
        <v>83</v>
      </c>
      <c r="D93" s="238">
        <v>14288</v>
      </c>
      <c r="E93" s="238">
        <v>2026</v>
      </c>
      <c r="F93" s="238" t="s">
        <v>276</v>
      </c>
      <c r="G93" s="238">
        <v>3</v>
      </c>
      <c r="H93" s="238">
        <v>9</v>
      </c>
      <c r="I93" s="238" t="s">
        <v>705</v>
      </c>
      <c r="J93" s="239">
        <v>0</v>
      </c>
      <c r="K93" s="239">
        <v>0</v>
      </c>
      <c r="L93" s="239">
        <v>0</v>
      </c>
      <c r="M93" s="239">
        <v>0</v>
      </c>
      <c r="N93" s="239">
        <v>0</v>
      </c>
      <c r="O93" s="239">
        <v>0</v>
      </c>
      <c r="P93" s="239">
        <v>0</v>
      </c>
      <c r="Q93" s="242">
        <v>0</v>
      </c>
      <c r="R93" s="239">
        <v>0</v>
      </c>
      <c r="S93" s="239">
        <v>0</v>
      </c>
      <c r="T93" s="239">
        <v>0</v>
      </c>
      <c r="U93" s="239">
        <v>0</v>
      </c>
      <c r="V93" s="239">
        <v>0</v>
      </c>
      <c r="W93" s="239">
        <v>0</v>
      </c>
      <c r="X93" s="242">
        <v>0</v>
      </c>
      <c r="Y93" s="239">
        <v>0</v>
      </c>
      <c r="Z93" s="242">
        <v>0</v>
      </c>
      <c r="AA93" s="242">
        <v>0</v>
      </c>
      <c r="AB93" s="239">
        <v>0</v>
      </c>
      <c r="AC93" s="239">
        <v>0</v>
      </c>
      <c r="AD93" s="239">
        <v>0</v>
      </c>
      <c r="AE93" s="239">
        <v>0</v>
      </c>
      <c r="AF93" s="242">
        <v>0</v>
      </c>
      <c r="AG93" s="239">
        <v>0</v>
      </c>
      <c r="AH93" s="239">
        <v>0</v>
      </c>
      <c r="AI93" s="239">
        <v>0</v>
      </c>
      <c r="AJ93" s="242">
        <v>0</v>
      </c>
      <c r="AK93" s="242">
        <v>0</v>
      </c>
      <c r="AL93" s="239">
        <v>0</v>
      </c>
      <c r="AM93" s="239">
        <v>0</v>
      </c>
      <c r="AN93" s="239">
        <v>0</v>
      </c>
      <c r="AO93" s="242">
        <v>0</v>
      </c>
      <c r="AP93" s="242">
        <v>0</v>
      </c>
      <c r="AQ93" s="239">
        <v>3474715</v>
      </c>
      <c r="AR93" s="239">
        <v>0</v>
      </c>
      <c r="AS93" s="239">
        <v>2591308</v>
      </c>
      <c r="AT93" s="239">
        <v>0</v>
      </c>
      <c r="AU93" s="239">
        <v>0</v>
      </c>
      <c r="AV93" s="239">
        <v>0</v>
      </c>
      <c r="AW93" s="242">
        <v>6066023</v>
      </c>
      <c r="AX93" s="239">
        <v>0</v>
      </c>
      <c r="AY93" s="239">
        <v>0</v>
      </c>
      <c r="AZ93" s="239"/>
      <c r="BA93" s="239">
        <v>0</v>
      </c>
      <c r="BB93" s="239">
        <v>0</v>
      </c>
      <c r="BC93" s="242">
        <v>0</v>
      </c>
      <c r="BD93" s="242">
        <v>6066023</v>
      </c>
      <c r="BE93" s="239">
        <v>10263330</v>
      </c>
      <c r="BF93" s="239">
        <v>2786351</v>
      </c>
      <c r="BG93" s="239">
        <v>69694</v>
      </c>
      <c r="BH93" s="239">
        <v>1073</v>
      </c>
      <c r="BI93" s="239">
        <v>0</v>
      </c>
      <c r="BJ93" s="239">
        <v>1364454</v>
      </c>
      <c r="BK93" s="239">
        <v>0</v>
      </c>
      <c r="BL93" s="242">
        <v>14484902</v>
      </c>
      <c r="BM93" s="242">
        <v>-8418879</v>
      </c>
      <c r="BN93" s="239">
        <v>0</v>
      </c>
      <c r="BO93" s="239">
        <v>0</v>
      </c>
      <c r="BP93" s="239">
        <v>-8418879</v>
      </c>
      <c r="BQ93" s="239">
        <v>0</v>
      </c>
      <c r="BR93" s="239">
        <v>0</v>
      </c>
      <c r="BS93" s="242">
        <v>-8418879</v>
      </c>
    </row>
    <row r="94" spans="1:71" s="164" customFormat="1" ht="30" customHeight="1" x14ac:dyDescent="0.3">
      <c r="A94" s="238">
        <v>12759</v>
      </c>
      <c r="B94" s="238" t="s">
        <v>166</v>
      </c>
      <c r="C94" s="238" t="s">
        <v>75</v>
      </c>
      <c r="D94" s="238">
        <v>12759</v>
      </c>
      <c r="E94" s="238">
        <v>2026</v>
      </c>
      <c r="F94" s="238" t="s">
        <v>275</v>
      </c>
      <c r="G94" s="238">
        <v>2</v>
      </c>
      <c r="H94" s="238">
        <v>6</v>
      </c>
      <c r="I94" s="238" t="s">
        <v>703</v>
      </c>
      <c r="J94" s="239">
        <v>35035096</v>
      </c>
      <c r="K94" s="239">
        <v>140971</v>
      </c>
      <c r="L94" s="239">
        <v>17626668</v>
      </c>
      <c r="M94" s="239">
        <v>130445140</v>
      </c>
      <c r="N94" s="239">
        <v>0</v>
      </c>
      <c r="O94" s="239">
        <v>9489094</v>
      </c>
      <c r="P94" s="239">
        <v>43002720</v>
      </c>
      <c r="Q94" s="242">
        <v>235739689</v>
      </c>
      <c r="R94" s="239">
        <v>239381680</v>
      </c>
      <c r="S94" s="239">
        <v>1749542</v>
      </c>
      <c r="T94" s="239">
        <v>0</v>
      </c>
      <c r="U94" s="239">
        <v>0</v>
      </c>
      <c r="V94" s="239">
        <v>763723600</v>
      </c>
      <c r="W94" s="239">
        <v>488507880</v>
      </c>
      <c r="X94" s="242">
        <v>275215720</v>
      </c>
      <c r="Y94" s="239">
        <v>76316244</v>
      </c>
      <c r="Z94" s="242">
        <v>592663186</v>
      </c>
      <c r="AA94" s="242">
        <v>828402875</v>
      </c>
      <c r="AB94" s="239">
        <v>29737057</v>
      </c>
      <c r="AC94" s="239">
        <v>6576063</v>
      </c>
      <c r="AD94" s="239">
        <v>0</v>
      </c>
      <c r="AE94" s="239">
        <v>134636511</v>
      </c>
      <c r="AF94" s="242">
        <v>170949631</v>
      </c>
      <c r="AG94" s="239">
        <v>196375167</v>
      </c>
      <c r="AH94" s="239">
        <v>0</v>
      </c>
      <c r="AI94" s="239">
        <v>44128089</v>
      </c>
      <c r="AJ94" s="242">
        <v>240503256</v>
      </c>
      <c r="AK94" s="242">
        <v>411452887</v>
      </c>
      <c r="AL94" s="239">
        <v>397710598</v>
      </c>
      <c r="AM94" s="239">
        <v>0</v>
      </c>
      <c r="AN94" s="239">
        <v>19239390</v>
      </c>
      <c r="AO94" s="242">
        <v>416949988</v>
      </c>
      <c r="AP94" s="242">
        <v>828402875</v>
      </c>
      <c r="AQ94" s="239">
        <v>469763586</v>
      </c>
      <c r="AR94" s="239">
        <v>0</v>
      </c>
      <c r="AS94" s="239">
        <v>34160993</v>
      </c>
      <c r="AT94" s="239">
        <v>0</v>
      </c>
      <c r="AU94" s="239">
        <v>0</v>
      </c>
      <c r="AV94" s="239">
        <v>1276881</v>
      </c>
      <c r="AW94" s="242">
        <v>505201460</v>
      </c>
      <c r="AX94" s="239">
        <v>1289034</v>
      </c>
      <c r="AY94" s="239">
        <v>2054096</v>
      </c>
      <c r="AZ94" s="239">
        <v>-3192412</v>
      </c>
      <c r="BA94" s="239">
        <v>3284774</v>
      </c>
      <c r="BB94" s="239">
        <v>-1486200</v>
      </c>
      <c r="BC94" s="242">
        <v>1949292</v>
      </c>
      <c r="BD94" s="242">
        <v>507150752</v>
      </c>
      <c r="BE94" s="239">
        <v>340407571</v>
      </c>
      <c r="BF94" s="239">
        <v>0</v>
      </c>
      <c r="BG94" s="239">
        <v>17883722</v>
      </c>
      <c r="BH94" s="239">
        <v>3749401</v>
      </c>
      <c r="BI94" s="239">
        <v>2194584</v>
      </c>
      <c r="BJ94" s="239">
        <v>138050707</v>
      </c>
      <c r="BK94" s="239">
        <v>0</v>
      </c>
      <c r="BL94" s="242">
        <v>502285985</v>
      </c>
      <c r="BM94" s="242">
        <v>4864767</v>
      </c>
      <c r="BN94" s="239">
        <v>0</v>
      </c>
      <c r="BO94" s="239">
        <v>543878</v>
      </c>
      <c r="BP94" s="239">
        <v>5408645</v>
      </c>
      <c r="BQ94" s="239">
        <v>0</v>
      </c>
      <c r="BR94" s="239">
        <v>0</v>
      </c>
      <c r="BS94" s="242">
        <v>5408645</v>
      </c>
    </row>
    <row r="95" spans="1:71" s="202" customFormat="1" ht="30" customHeight="1" x14ac:dyDescent="0.3">
      <c r="A95" s="238">
        <v>12767</v>
      </c>
      <c r="B95" s="238" t="s">
        <v>203</v>
      </c>
      <c r="C95" s="238" t="s">
        <v>75</v>
      </c>
      <c r="D95" s="238">
        <v>12767</v>
      </c>
      <c r="E95" s="238">
        <v>2026</v>
      </c>
      <c r="F95" s="238" t="s">
        <v>275</v>
      </c>
      <c r="G95" s="238">
        <v>2</v>
      </c>
      <c r="H95" s="238">
        <v>6</v>
      </c>
      <c r="I95" s="238" t="s">
        <v>703</v>
      </c>
      <c r="J95" s="239">
        <v>20462334</v>
      </c>
      <c r="K95" s="239">
        <v>2433994</v>
      </c>
      <c r="L95" s="239">
        <v>0</v>
      </c>
      <c r="M95" s="239">
        <v>40159810</v>
      </c>
      <c r="N95" s="239">
        <v>0</v>
      </c>
      <c r="O95" s="239">
        <v>0</v>
      </c>
      <c r="P95" s="239">
        <v>12479079</v>
      </c>
      <c r="Q95" s="242">
        <v>75535217</v>
      </c>
      <c r="R95" s="239">
        <v>5857359</v>
      </c>
      <c r="S95" s="239">
        <v>0</v>
      </c>
      <c r="T95" s="239">
        <v>0</v>
      </c>
      <c r="U95" s="239">
        <v>0</v>
      </c>
      <c r="V95" s="239">
        <v>160750680</v>
      </c>
      <c r="W95" s="239">
        <v>101524455</v>
      </c>
      <c r="X95" s="242">
        <v>59226225</v>
      </c>
      <c r="Y95" s="239">
        <v>20494333</v>
      </c>
      <c r="Z95" s="242">
        <v>85577917</v>
      </c>
      <c r="AA95" s="242">
        <v>161113134</v>
      </c>
      <c r="AB95" s="239">
        <v>2381886</v>
      </c>
      <c r="AC95" s="239">
        <v>2630485</v>
      </c>
      <c r="AD95" s="239">
        <v>0</v>
      </c>
      <c r="AE95" s="239">
        <v>54762838</v>
      </c>
      <c r="AF95" s="242">
        <v>59775209</v>
      </c>
      <c r="AG95" s="239">
        <v>18626263</v>
      </c>
      <c r="AH95" s="239">
        <v>0</v>
      </c>
      <c r="AI95" s="239">
        <v>12773081</v>
      </c>
      <c r="AJ95" s="242">
        <v>31399344</v>
      </c>
      <c r="AK95" s="242">
        <v>91174553</v>
      </c>
      <c r="AL95" s="239">
        <v>61672511</v>
      </c>
      <c r="AM95" s="239">
        <v>4298531</v>
      </c>
      <c r="AN95" s="239">
        <v>3967539</v>
      </c>
      <c r="AO95" s="242">
        <v>69938581</v>
      </c>
      <c r="AP95" s="242">
        <v>161113134</v>
      </c>
      <c r="AQ95" s="239">
        <v>139882560</v>
      </c>
      <c r="AR95" s="239">
        <v>1586126</v>
      </c>
      <c r="AS95" s="239">
        <v>29915368</v>
      </c>
      <c r="AT95" s="239">
        <v>0</v>
      </c>
      <c r="AU95" s="239">
        <v>0</v>
      </c>
      <c r="AV95" s="239">
        <v>12712</v>
      </c>
      <c r="AW95" s="242">
        <v>171396766</v>
      </c>
      <c r="AX95" s="239">
        <v>237362</v>
      </c>
      <c r="AY95" s="239">
        <v>1210372</v>
      </c>
      <c r="AZ95" s="239"/>
      <c r="BA95" s="239">
        <v>25161</v>
      </c>
      <c r="BB95" s="239">
        <v>10600</v>
      </c>
      <c r="BC95" s="242">
        <v>1512124</v>
      </c>
      <c r="BD95" s="242">
        <v>172908890</v>
      </c>
      <c r="BE95" s="239">
        <v>109866309</v>
      </c>
      <c r="BF95" s="239">
        <v>0</v>
      </c>
      <c r="BG95" s="239">
        <v>3607101</v>
      </c>
      <c r="BH95" s="239">
        <v>446282</v>
      </c>
      <c r="BI95" s="239">
        <v>3131452</v>
      </c>
      <c r="BJ95" s="239">
        <v>51743299</v>
      </c>
      <c r="BK95" s="239">
        <v>0</v>
      </c>
      <c r="BL95" s="242">
        <v>168794443</v>
      </c>
      <c r="BM95" s="242">
        <v>4114447</v>
      </c>
      <c r="BN95" s="239">
        <v>0</v>
      </c>
      <c r="BO95" s="239">
        <v>0</v>
      </c>
      <c r="BP95" s="239">
        <v>4114447</v>
      </c>
      <c r="BQ95" s="239">
        <v>0</v>
      </c>
      <c r="BR95" s="239">
        <v>0</v>
      </c>
      <c r="BS95" s="242">
        <v>4114447</v>
      </c>
    </row>
    <row r="96" spans="1:71" s="164" customFormat="1" ht="30" customHeight="1" x14ac:dyDescent="0.3">
      <c r="A96" s="238">
        <v>12773</v>
      </c>
      <c r="B96" s="238" t="s">
        <v>179</v>
      </c>
      <c r="C96" s="238" t="s">
        <v>75</v>
      </c>
      <c r="D96" s="238">
        <v>12773</v>
      </c>
      <c r="E96" s="238">
        <v>2026</v>
      </c>
      <c r="F96" s="238" t="s">
        <v>275</v>
      </c>
      <c r="G96" s="238">
        <v>2</v>
      </c>
      <c r="H96" s="238">
        <v>6</v>
      </c>
      <c r="I96" s="238" t="s">
        <v>703</v>
      </c>
      <c r="J96" s="239">
        <v>18290153</v>
      </c>
      <c r="K96" s="239">
        <v>0</v>
      </c>
      <c r="L96" s="239">
        <v>0</v>
      </c>
      <c r="M96" s="239">
        <v>36668688</v>
      </c>
      <c r="N96" s="239">
        <v>0</v>
      </c>
      <c r="O96" s="239">
        <v>0</v>
      </c>
      <c r="P96" s="239">
        <v>13366326</v>
      </c>
      <c r="Q96" s="242">
        <v>68325167</v>
      </c>
      <c r="R96" s="239">
        <v>7056696</v>
      </c>
      <c r="S96" s="239">
        <v>0</v>
      </c>
      <c r="T96" s="239">
        <v>0</v>
      </c>
      <c r="U96" s="239">
        <v>0</v>
      </c>
      <c r="V96" s="239">
        <v>371178108</v>
      </c>
      <c r="W96" s="239">
        <v>187158409</v>
      </c>
      <c r="X96" s="242">
        <v>184019699</v>
      </c>
      <c r="Y96" s="239">
        <v>552646688</v>
      </c>
      <c r="Z96" s="242">
        <v>743723083</v>
      </c>
      <c r="AA96" s="242">
        <v>812048250</v>
      </c>
      <c r="AB96" s="239">
        <v>0</v>
      </c>
      <c r="AC96" s="239">
        <v>4983631</v>
      </c>
      <c r="AD96" s="239">
        <v>0</v>
      </c>
      <c r="AE96" s="239">
        <v>36740914</v>
      </c>
      <c r="AF96" s="242">
        <v>41724545</v>
      </c>
      <c r="AG96" s="239">
        <v>48939096</v>
      </c>
      <c r="AH96" s="239">
        <v>0</v>
      </c>
      <c r="AI96" s="239">
        <v>18665862</v>
      </c>
      <c r="AJ96" s="242">
        <v>67604958</v>
      </c>
      <c r="AK96" s="242">
        <v>109329503</v>
      </c>
      <c r="AL96" s="239">
        <v>693604232</v>
      </c>
      <c r="AM96" s="239">
        <v>9114515</v>
      </c>
      <c r="AN96" s="239">
        <v>0</v>
      </c>
      <c r="AO96" s="242">
        <v>702718747</v>
      </c>
      <c r="AP96" s="242">
        <v>812048250</v>
      </c>
      <c r="AQ96" s="239">
        <v>164799170</v>
      </c>
      <c r="AR96" s="239">
        <v>114919</v>
      </c>
      <c r="AS96" s="239">
        <v>7951767</v>
      </c>
      <c r="AT96" s="239">
        <v>0</v>
      </c>
      <c r="AU96" s="239">
        <v>0</v>
      </c>
      <c r="AV96" s="239">
        <v>0</v>
      </c>
      <c r="AW96" s="242">
        <v>172865856</v>
      </c>
      <c r="AX96" s="239">
        <v>16128234</v>
      </c>
      <c r="AY96" s="239">
        <v>112262</v>
      </c>
      <c r="AZ96" s="239"/>
      <c r="BA96" s="239">
        <v>910252</v>
      </c>
      <c r="BB96" s="239">
        <v>106025</v>
      </c>
      <c r="BC96" s="242">
        <v>17256773</v>
      </c>
      <c r="BD96" s="242">
        <v>190122629</v>
      </c>
      <c r="BE96" s="239">
        <v>113800150</v>
      </c>
      <c r="BF96" s="239">
        <v>0</v>
      </c>
      <c r="BG96" s="239">
        <v>7737452</v>
      </c>
      <c r="BH96" s="239">
        <v>980053</v>
      </c>
      <c r="BI96" s="239">
        <v>1633716</v>
      </c>
      <c r="BJ96" s="239">
        <v>59794875</v>
      </c>
      <c r="BK96" s="239">
        <v>0</v>
      </c>
      <c r="BL96" s="242">
        <v>183946246</v>
      </c>
      <c r="BM96" s="242">
        <v>6176383</v>
      </c>
      <c r="BN96" s="239">
        <v>0</v>
      </c>
      <c r="BO96" s="239">
        <v>947435</v>
      </c>
      <c r="BP96" s="239">
        <v>7123818</v>
      </c>
      <c r="BQ96" s="239">
        <v>0</v>
      </c>
      <c r="BR96" s="239">
        <v>0</v>
      </c>
      <c r="BS96" s="242">
        <v>7123818</v>
      </c>
    </row>
    <row r="97" spans="1:71" s="202" customFormat="1" ht="30" customHeight="1" x14ac:dyDescent="0.3">
      <c r="A97" s="233">
        <v>12775</v>
      </c>
      <c r="B97" s="233" t="s">
        <v>190</v>
      </c>
      <c r="C97" s="233" t="s">
        <v>75</v>
      </c>
      <c r="D97" s="233">
        <v>12775</v>
      </c>
      <c r="E97" s="233">
        <v>2026</v>
      </c>
      <c r="F97" s="233" t="s">
        <v>275</v>
      </c>
      <c r="G97" s="233">
        <v>2</v>
      </c>
      <c r="H97" s="233">
        <v>6</v>
      </c>
      <c r="I97" s="233" t="s">
        <v>703</v>
      </c>
      <c r="J97" s="234">
        <v>71264000</v>
      </c>
      <c r="K97" s="234">
        <v>60499000</v>
      </c>
      <c r="L97" s="234">
        <v>20619000</v>
      </c>
      <c r="M97" s="234">
        <v>362507000</v>
      </c>
      <c r="N97" s="234">
        <v>0</v>
      </c>
      <c r="O97" s="234">
        <v>64601000</v>
      </c>
      <c r="P97" s="234">
        <v>214990000</v>
      </c>
      <c r="Q97" s="242">
        <v>794480000</v>
      </c>
      <c r="R97" s="234">
        <v>129792000</v>
      </c>
      <c r="S97" s="234">
        <v>0</v>
      </c>
      <c r="T97" s="234">
        <v>0</v>
      </c>
      <c r="U97" s="234">
        <v>40621000</v>
      </c>
      <c r="V97" s="234">
        <v>689657000</v>
      </c>
      <c r="W97" s="234">
        <v>0</v>
      </c>
      <c r="X97" s="242">
        <v>689657000</v>
      </c>
      <c r="Y97" s="234">
        <v>667299000</v>
      </c>
      <c r="Z97" s="242">
        <v>1527369000</v>
      </c>
      <c r="AA97" s="242">
        <v>2321849000</v>
      </c>
      <c r="AB97" s="234">
        <v>22415000</v>
      </c>
      <c r="AC97" s="234">
        <v>16863000</v>
      </c>
      <c r="AD97" s="234">
        <v>0</v>
      </c>
      <c r="AE97" s="234">
        <v>603031000</v>
      </c>
      <c r="AF97" s="242">
        <v>642309000</v>
      </c>
      <c r="AG97" s="234">
        <v>915418000</v>
      </c>
      <c r="AH97" s="234">
        <v>0</v>
      </c>
      <c r="AI97" s="234">
        <v>618550000</v>
      </c>
      <c r="AJ97" s="242">
        <v>1533968000</v>
      </c>
      <c r="AK97" s="242">
        <v>2176277000</v>
      </c>
      <c r="AL97" s="234">
        <v>93330000</v>
      </c>
      <c r="AM97" s="234">
        <v>21382000</v>
      </c>
      <c r="AN97" s="234">
        <v>30860000</v>
      </c>
      <c r="AO97" s="242">
        <v>145572000</v>
      </c>
      <c r="AP97" s="242">
        <v>2321849000</v>
      </c>
      <c r="AQ97" s="234">
        <v>1275964000</v>
      </c>
      <c r="AR97" s="234">
        <v>0</v>
      </c>
      <c r="AS97" s="234">
        <v>347078000</v>
      </c>
      <c r="AT97" s="234">
        <v>0</v>
      </c>
      <c r="AU97" s="234">
        <v>0</v>
      </c>
      <c r="AV97" s="234">
        <v>2176000</v>
      </c>
      <c r="AW97" s="242">
        <v>1625218000</v>
      </c>
      <c r="AX97" s="234">
        <v>2613000</v>
      </c>
      <c r="AY97" s="234">
        <v>-1574000</v>
      </c>
      <c r="AZ97" s="234">
        <v>234000</v>
      </c>
      <c r="BA97" s="234">
        <v>-1323000</v>
      </c>
      <c r="BB97" s="234">
        <v>-1546000</v>
      </c>
      <c r="BC97" s="242">
        <v>-1596000</v>
      </c>
      <c r="BD97" s="242">
        <v>1623622000</v>
      </c>
      <c r="BE97" s="234">
        <v>845593000</v>
      </c>
      <c r="BF97" s="234">
        <v>0</v>
      </c>
      <c r="BG97" s="234">
        <v>40637000</v>
      </c>
      <c r="BH97" s="234">
        <v>22134000</v>
      </c>
      <c r="BI97" s="234">
        <v>80292000</v>
      </c>
      <c r="BJ97" s="234">
        <v>682929000</v>
      </c>
      <c r="BK97" s="234">
        <v>0</v>
      </c>
      <c r="BL97" s="242">
        <v>1671585000</v>
      </c>
      <c r="BM97" s="242">
        <v>-47963000</v>
      </c>
      <c r="BN97" s="234">
        <v>0</v>
      </c>
      <c r="BO97" s="234">
        <v>1234000</v>
      </c>
      <c r="BP97" s="234">
        <v>-46729000</v>
      </c>
      <c r="BQ97" s="234">
        <v>-188000</v>
      </c>
      <c r="BR97" s="234">
        <v>0</v>
      </c>
      <c r="BS97" s="242">
        <v>-46917000</v>
      </c>
    </row>
    <row r="98" spans="1:71" s="164" customFormat="1" ht="30" customHeight="1" x14ac:dyDescent="0.3">
      <c r="A98" s="233">
        <v>12776</v>
      </c>
      <c r="B98" s="233" t="s">
        <v>130</v>
      </c>
      <c r="C98" s="233" t="s">
        <v>75</v>
      </c>
      <c r="D98" s="233">
        <v>12776</v>
      </c>
      <c r="E98" s="233">
        <v>2026</v>
      </c>
      <c r="F98" s="233" t="s">
        <v>275</v>
      </c>
      <c r="G98" s="233">
        <v>2</v>
      </c>
      <c r="H98" s="233">
        <v>6</v>
      </c>
      <c r="I98" s="233" t="s">
        <v>703</v>
      </c>
      <c r="J98" s="234">
        <v>19744259</v>
      </c>
      <c r="K98" s="234">
        <v>0</v>
      </c>
      <c r="L98" s="234">
        <v>0</v>
      </c>
      <c r="M98" s="234">
        <v>40939059</v>
      </c>
      <c r="N98" s="234">
        <v>1005340</v>
      </c>
      <c r="O98" s="234">
        <v>2345663</v>
      </c>
      <c r="P98" s="234">
        <v>17608611</v>
      </c>
      <c r="Q98" s="242">
        <v>81642932</v>
      </c>
      <c r="R98" s="234">
        <v>63150268</v>
      </c>
      <c r="S98" s="234">
        <v>0</v>
      </c>
      <c r="T98" s="234">
        <v>0</v>
      </c>
      <c r="U98" s="234">
        <v>0</v>
      </c>
      <c r="V98" s="234">
        <v>354230365</v>
      </c>
      <c r="W98" s="234">
        <v>246427123</v>
      </c>
      <c r="X98" s="242">
        <v>107803242</v>
      </c>
      <c r="Y98" s="234">
        <v>60853328</v>
      </c>
      <c r="Z98" s="242">
        <v>231806838</v>
      </c>
      <c r="AA98" s="242">
        <v>313449770</v>
      </c>
      <c r="AB98" s="234">
        <v>10276374</v>
      </c>
      <c r="AC98" s="234">
        <v>0</v>
      </c>
      <c r="AD98" s="234">
        <v>1005340</v>
      </c>
      <c r="AE98" s="234">
        <v>64102328</v>
      </c>
      <c r="AF98" s="242">
        <v>75384042</v>
      </c>
      <c r="AG98" s="234">
        <v>85119113</v>
      </c>
      <c r="AH98" s="234">
        <v>0</v>
      </c>
      <c r="AI98" s="234">
        <v>13541689</v>
      </c>
      <c r="AJ98" s="242">
        <v>98660802</v>
      </c>
      <c r="AK98" s="242">
        <v>174044844</v>
      </c>
      <c r="AL98" s="234">
        <v>107929634</v>
      </c>
      <c r="AM98" s="234">
        <v>24712523</v>
      </c>
      <c r="AN98" s="234">
        <v>6762769</v>
      </c>
      <c r="AO98" s="242">
        <v>139404926</v>
      </c>
      <c r="AP98" s="242">
        <v>313449770</v>
      </c>
      <c r="AQ98" s="234">
        <v>194453176</v>
      </c>
      <c r="AR98" s="234">
        <v>0</v>
      </c>
      <c r="AS98" s="234">
        <v>12441002</v>
      </c>
      <c r="AT98" s="234">
        <v>0</v>
      </c>
      <c r="AU98" s="234">
        <v>0</v>
      </c>
      <c r="AV98" s="234">
        <v>1135868</v>
      </c>
      <c r="AW98" s="242">
        <v>208030046</v>
      </c>
      <c r="AX98" s="234">
        <v>685869</v>
      </c>
      <c r="AY98" s="234">
        <v>0</v>
      </c>
      <c r="AZ98" s="234">
        <v>0</v>
      </c>
      <c r="BA98" s="234">
        <v>151867</v>
      </c>
      <c r="BB98" s="234">
        <v>0</v>
      </c>
      <c r="BC98" s="242">
        <v>837736</v>
      </c>
      <c r="BD98" s="242">
        <v>208867782</v>
      </c>
      <c r="BE98" s="234">
        <v>115876233</v>
      </c>
      <c r="BF98" s="234">
        <v>0</v>
      </c>
      <c r="BG98" s="234">
        <v>5670839</v>
      </c>
      <c r="BH98" s="234">
        <v>1697524</v>
      </c>
      <c r="BI98" s="234">
        <v>1096956</v>
      </c>
      <c r="BJ98" s="234">
        <v>84578671</v>
      </c>
      <c r="BK98" s="234">
        <v>0</v>
      </c>
      <c r="BL98" s="242">
        <v>208920223</v>
      </c>
      <c r="BM98" s="242">
        <v>-52441</v>
      </c>
      <c r="BN98" s="234">
        <v>0</v>
      </c>
      <c r="BO98" s="234">
        <v>24866</v>
      </c>
      <c r="BP98" s="234">
        <v>-27575</v>
      </c>
      <c r="BQ98" s="234">
        <v>0</v>
      </c>
      <c r="BR98" s="234">
        <v>0</v>
      </c>
      <c r="BS98" s="242">
        <v>-27575</v>
      </c>
    </row>
    <row r="99" spans="1:71" s="202" customFormat="1" ht="30" customHeight="1" x14ac:dyDescent="0.3">
      <c r="A99" s="233">
        <v>12807</v>
      </c>
      <c r="B99" s="233" t="s">
        <v>133</v>
      </c>
      <c r="C99" s="233" t="s">
        <v>75</v>
      </c>
      <c r="D99" s="233">
        <v>12807</v>
      </c>
      <c r="E99" s="233">
        <v>2026</v>
      </c>
      <c r="F99" s="233" t="s">
        <v>275</v>
      </c>
      <c r="G99" s="233">
        <v>2</v>
      </c>
      <c r="H99" s="233">
        <v>6</v>
      </c>
      <c r="I99" s="233" t="s">
        <v>703</v>
      </c>
      <c r="J99" s="234">
        <v>15470672</v>
      </c>
      <c r="K99" s="234">
        <v>0</v>
      </c>
      <c r="L99" s="234">
        <v>0</v>
      </c>
      <c r="M99" s="234">
        <v>28726585</v>
      </c>
      <c r="N99" s="234">
        <v>21677463</v>
      </c>
      <c r="O99" s="234">
        <v>0</v>
      </c>
      <c r="P99" s="234">
        <v>7270892</v>
      </c>
      <c r="Q99" s="242">
        <v>73145612</v>
      </c>
      <c r="R99" s="234">
        <v>6191953</v>
      </c>
      <c r="S99" s="234">
        <v>0</v>
      </c>
      <c r="T99" s="234">
        <v>0</v>
      </c>
      <c r="U99" s="234">
        <v>0</v>
      </c>
      <c r="V99" s="234">
        <v>196067890</v>
      </c>
      <c r="W99" s="234">
        <v>120522242</v>
      </c>
      <c r="X99" s="242">
        <v>75545648</v>
      </c>
      <c r="Y99" s="234">
        <v>20985067</v>
      </c>
      <c r="Z99" s="242">
        <v>102722668</v>
      </c>
      <c r="AA99" s="242">
        <v>175868280</v>
      </c>
      <c r="AB99" s="234">
        <v>1239820</v>
      </c>
      <c r="AC99" s="234">
        <v>5343575</v>
      </c>
      <c r="AD99" s="234">
        <v>21677463</v>
      </c>
      <c r="AE99" s="234">
        <v>49967199</v>
      </c>
      <c r="AF99" s="242">
        <v>78228057</v>
      </c>
      <c r="AG99" s="234">
        <v>61910000</v>
      </c>
      <c r="AH99" s="234">
        <v>0</v>
      </c>
      <c r="AI99" s="234">
        <v>2405307</v>
      </c>
      <c r="AJ99" s="242">
        <v>64315307</v>
      </c>
      <c r="AK99" s="242">
        <v>142543364</v>
      </c>
      <c r="AL99" s="234">
        <v>27161905</v>
      </c>
      <c r="AM99" s="234">
        <v>3903691</v>
      </c>
      <c r="AN99" s="234">
        <v>2259320</v>
      </c>
      <c r="AO99" s="242">
        <v>33324916</v>
      </c>
      <c r="AP99" s="242">
        <v>175868280</v>
      </c>
      <c r="AQ99" s="234">
        <v>105467018</v>
      </c>
      <c r="AR99" s="234">
        <v>0</v>
      </c>
      <c r="AS99" s="234">
        <v>23701146</v>
      </c>
      <c r="AT99" s="234">
        <v>0</v>
      </c>
      <c r="AU99" s="234">
        <v>0</v>
      </c>
      <c r="AV99" s="234">
        <v>0</v>
      </c>
      <c r="AW99" s="242">
        <v>129168164</v>
      </c>
      <c r="AX99" s="234">
        <v>26766</v>
      </c>
      <c r="AY99" s="234">
        <v>664022</v>
      </c>
      <c r="AZ99" s="234">
        <v>0</v>
      </c>
      <c r="BA99" s="234">
        <v>0</v>
      </c>
      <c r="BB99" s="234">
        <v>0</v>
      </c>
      <c r="BC99" s="242">
        <v>690788</v>
      </c>
      <c r="BD99" s="242">
        <v>129858952</v>
      </c>
      <c r="BE99" s="234">
        <v>61536981</v>
      </c>
      <c r="BF99" s="234">
        <v>0</v>
      </c>
      <c r="BG99" s="234">
        <v>3259527</v>
      </c>
      <c r="BH99" s="234">
        <v>450149</v>
      </c>
      <c r="BI99" s="234">
        <v>6278208</v>
      </c>
      <c r="BJ99" s="234">
        <v>62860195</v>
      </c>
      <c r="BK99" s="234">
        <v>0</v>
      </c>
      <c r="BL99" s="242">
        <v>134385060</v>
      </c>
      <c r="BM99" s="242">
        <v>-4526108</v>
      </c>
      <c r="BN99" s="234">
        <v>0</v>
      </c>
      <c r="BO99" s="234">
        <v>0</v>
      </c>
      <c r="BP99" s="234">
        <v>-4526108</v>
      </c>
      <c r="BQ99" s="234">
        <v>0</v>
      </c>
      <c r="BR99" s="234">
        <v>0</v>
      </c>
      <c r="BS99" s="242">
        <v>-4526108</v>
      </c>
    </row>
    <row r="100" spans="1:71" s="164" customFormat="1" ht="30" customHeight="1" x14ac:dyDescent="0.3">
      <c r="A100" s="233">
        <v>13118</v>
      </c>
      <c r="B100" s="233" t="s">
        <v>140</v>
      </c>
      <c r="C100" s="233" t="s">
        <v>83</v>
      </c>
      <c r="D100" s="233">
        <v>13156</v>
      </c>
      <c r="E100" s="233">
        <v>2026</v>
      </c>
      <c r="F100" s="233" t="s">
        <v>275</v>
      </c>
      <c r="G100" s="233">
        <v>2</v>
      </c>
      <c r="H100" s="233">
        <v>6</v>
      </c>
      <c r="I100" s="233" t="s">
        <v>703</v>
      </c>
      <c r="J100" s="234">
        <v>0</v>
      </c>
      <c r="K100" s="234">
        <v>0</v>
      </c>
      <c r="L100" s="234">
        <v>0</v>
      </c>
      <c r="M100" s="234">
        <v>0</v>
      </c>
      <c r="N100" s="234">
        <v>0</v>
      </c>
      <c r="O100" s="234">
        <v>0</v>
      </c>
      <c r="P100" s="234">
        <v>0</v>
      </c>
      <c r="Q100" s="242">
        <v>0</v>
      </c>
      <c r="R100" s="234">
        <v>0</v>
      </c>
      <c r="S100" s="234">
        <v>0</v>
      </c>
      <c r="T100" s="234">
        <v>0</v>
      </c>
      <c r="U100" s="234">
        <v>0</v>
      </c>
      <c r="V100" s="234">
        <v>0</v>
      </c>
      <c r="W100" s="234">
        <v>0</v>
      </c>
      <c r="X100" s="242">
        <v>0</v>
      </c>
      <c r="Y100" s="234">
        <v>0</v>
      </c>
      <c r="Z100" s="242">
        <v>0</v>
      </c>
      <c r="AA100" s="242">
        <v>0</v>
      </c>
      <c r="AB100" s="234">
        <v>0</v>
      </c>
      <c r="AC100" s="234">
        <v>0</v>
      </c>
      <c r="AD100" s="234">
        <v>0</v>
      </c>
      <c r="AE100" s="234">
        <v>0</v>
      </c>
      <c r="AF100" s="242">
        <v>0</v>
      </c>
      <c r="AG100" s="234">
        <v>0</v>
      </c>
      <c r="AH100" s="234">
        <v>0</v>
      </c>
      <c r="AI100" s="234">
        <v>0</v>
      </c>
      <c r="AJ100" s="242">
        <v>0</v>
      </c>
      <c r="AK100" s="242">
        <v>0</v>
      </c>
      <c r="AL100" s="234">
        <v>0</v>
      </c>
      <c r="AM100" s="234">
        <v>0</v>
      </c>
      <c r="AN100" s="234">
        <v>0</v>
      </c>
      <c r="AO100" s="242">
        <v>0</v>
      </c>
      <c r="AP100" s="242">
        <v>0</v>
      </c>
      <c r="AQ100" s="234">
        <v>9033000</v>
      </c>
      <c r="AR100" s="234">
        <v>0</v>
      </c>
      <c r="AS100" s="234">
        <v>248000</v>
      </c>
      <c r="AT100" s="234">
        <v>0</v>
      </c>
      <c r="AU100" s="234">
        <v>0</v>
      </c>
      <c r="AV100" s="234">
        <v>0</v>
      </c>
      <c r="AW100" s="242">
        <v>9281000</v>
      </c>
      <c r="AX100" s="234">
        <v>0</v>
      </c>
      <c r="AY100" s="234">
        <v>0</v>
      </c>
      <c r="AZ100" s="234">
        <v>0</v>
      </c>
      <c r="BA100" s="234">
        <v>0</v>
      </c>
      <c r="BB100" s="234">
        <v>0</v>
      </c>
      <c r="BC100" s="242">
        <v>0</v>
      </c>
      <c r="BD100" s="242">
        <v>9281000</v>
      </c>
      <c r="BE100" s="234">
        <v>14730000</v>
      </c>
      <c r="BF100" s="234">
        <v>0</v>
      </c>
      <c r="BG100" s="234">
        <v>77000</v>
      </c>
      <c r="BH100" s="234">
        <v>0</v>
      </c>
      <c r="BI100" s="234">
        <v>0</v>
      </c>
      <c r="BJ100" s="234">
        <v>4387000</v>
      </c>
      <c r="BK100" s="234">
        <v>0</v>
      </c>
      <c r="BL100" s="242">
        <v>19194000</v>
      </c>
      <c r="BM100" s="242">
        <v>-9913000</v>
      </c>
      <c r="BN100" s="234">
        <v>0</v>
      </c>
      <c r="BO100" s="234">
        <v>0</v>
      </c>
      <c r="BP100" s="234">
        <v>-9913000</v>
      </c>
      <c r="BQ100" s="234">
        <v>0</v>
      </c>
      <c r="BR100" s="234">
        <v>0</v>
      </c>
      <c r="BS100" s="242">
        <v>-9913000</v>
      </c>
    </row>
    <row r="101" spans="1:71" s="202" customFormat="1" ht="30" customHeight="1" x14ac:dyDescent="0.3">
      <c r="A101" s="233">
        <v>13120</v>
      </c>
      <c r="B101" s="233" t="s">
        <v>169</v>
      </c>
      <c r="C101" s="233" t="s">
        <v>83</v>
      </c>
      <c r="D101" s="233">
        <v>12759</v>
      </c>
      <c r="E101" s="233">
        <v>2026</v>
      </c>
      <c r="F101" s="233" t="s">
        <v>275</v>
      </c>
      <c r="G101" s="233">
        <v>2</v>
      </c>
      <c r="H101" s="233">
        <v>6</v>
      </c>
      <c r="I101" s="233" t="s">
        <v>703</v>
      </c>
      <c r="J101" s="234">
        <v>0</v>
      </c>
      <c r="K101" s="234">
        <v>0</v>
      </c>
      <c r="L101" s="234">
        <v>0</v>
      </c>
      <c r="M101" s="234">
        <v>0</v>
      </c>
      <c r="N101" s="234">
        <v>0</v>
      </c>
      <c r="O101" s="234">
        <v>0</v>
      </c>
      <c r="P101" s="234">
        <v>0</v>
      </c>
      <c r="Q101" s="242">
        <v>0</v>
      </c>
      <c r="R101" s="234">
        <v>0</v>
      </c>
      <c r="S101" s="234">
        <v>0</v>
      </c>
      <c r="T101" s="234">
        <v>0</v>
      </c>
      <c r="U101" s="234">
        <v>0</v>
      </c>
      <c r="V101" s="234">
        <v>0</v>
      </c>
      <c r="W101" s="234">
        <v>0</v>
      </c>
      <c r="X101" s="242">
        <v>0</v>
      </c>
      <c r="Y101" s="234">
        <v>0</v>
      </c>
      <c r="Z101" s="242">
        <v>0</v>
      </c>
      <c r="AA101" s="242">
        <v>0</v>
      </c>
      <c r="AB101" s="234">
        <v>0</v>
      </c>
      <c r="AC101" s="234">
        <v>0</v>
      </c>
      <c r="AD101" s="234">
        <v>0</v>
      </c>
      <c r="AE101" s="234">
        <v>0</v>
      </c>
      <c r="AF101" s="242">
        <v>0</v>
      </c>
      <c r="AG101" s="234">
        <v>0</v>
      </c>
      <c r="AH101" s="234">
        <v>0</v>
      </c>
      <c r="AI101" s="234">
        <v>0</v>
      </c>
      <c r="AJ101" s="242">
        <v>0</v>
      </c>
      <c r="AK101" s="242">
        <v>0</v>
      </c>
      <c r="AL101" s="234">
        <v>0</v>
      </c>
      <c r="AM101" s="234">
        <v>0</v>
      </c>
      <c r="AN101" s="234">
        <v>0</v>
      </c>
      <c r="AO101" s="242">
        <v>0</v>
      </c>
      <c r="AP101" s="242">
        <v>0</v>
      </c>
      <c r="AQ101" s="234">
        <v>47949716</v>
      </c>
      <c r="AR101" s="234">
        <v>0</v>
      </c>
      <c r="AS101" s="234">
        <v>1074210</v>
      </c>
      <c r="AT101" s="234">
        <v>0</v>
      </c>
      <c r="AU101" s="234">
        <v>0</v>
      </c>
      <c r="AV101" s="234">
        <v>782836</v>
      </c>
      <c r="AW101" s="242">
        <v>49806762</v>
      </c>
      <c r="AX101" s="234">
        <v>0</v>
      </c>
      <c r="AY101" s="234">
        <v>0</v>
      </c>
      <c r="AZ101" s="234">
        <v>-5234</v>
      </c>
      <c r="BA101" s="234">
        <v>0</v>
      </c>
      <c r="BB101" s="234">
        <v>0</v>
      </c>
      <c r="BC101" s="242">
        <v>-5234</v>
      </c>
      <c r="BD101" s="242">
        <v>49801528</v>
      </c>
      <c r="BE101" s="234">
        <v>41218953</v>
      </c>
      <c r="BF101" s="234">
        <v>0</v>
      </c>
      <c r="BG101" s="234">
        <v>1283894</v>
      </c>
      <c r="BH101" s="234">
        <v>4461</v>
      </c>
      <c r="BI101" s="234">
        <v>0</v>
      </c>
      <c r="BJ101" s="234">
        <v>20858237</v>
      </c>
      <c r="BK101" s="234">
        <v>0</v>
      </c>
      <c r="BL101" s="242">
        <v>63365545</v>
      </c>
      <c r="BM101" s="242">
        <v>-13564017</v>
      </c>
      <c r="BN101" s="234">
        <v>0</v>
      </c>
      <c r="BO101" s="234">
        <v>0</v>
      </c>
      <c r="BP101" s="234">
        <v>-13564017</v>
      </c>
      <c r="BQ101" s="234">
        <v>0</v>
      </c>
      <c r="BR101" s="234">
        <v>0</v>
      </c>
      <c r="BS101" s="242">
        <v>-13564017</v>
      </c>
    </row>
    <row r="102" spans="1:71" s="164" customFormat="1" ht="30" customHeight="1" x14ac:dyDescent="0.3">
      <c r="A102" s="238">
        <v>13155</v>
      </c>
      <c r="B102" s="238" t="s">
        <v>127</v>
      </c>
      <c r="C102" s="238" t="s">
        <v>75</v>
      </c>
      <c r="D102" s="238">
        <v>13155</v>
      </c>
      <c r="E102" s="238">
        <v>2026</v>
      </c>
      <c r="F102" s="238" t="s">
        <v>275</v>
      </c>
      <c r="G102" s="238">
        <v>2</v>
      </c>
      <c r="H102" s="238">
        <v>6</v>
      </c>
      <c r="I102" s="238" t="s">
        <v>703</v>
      </c>
      <c r="J102" s="239">
        <v>131365656.94</v>
      </c>
      <c r="K102" s="239">
        <v>0</v>
      </c>
      <c r="L102" s="239">
        <v>757093.66</v>
      </c>
      <c r="M102" s="239">
        <v>265266903.5</v>
      </c>
      <c r="N102" s="239">
        <v>0</v>
      </c>
      <c r="O102" s="239">
        <v>0</v>
      </c>
      <c r="P102" s="239">
        <v>1162290919.25</v>
      </c>
      <c r="Q102" s="242">
        <v>1559680573.3499999</v>
      </c>
      <c r="R102" s="239">
        <v>0</v>
      </c>
      <c r="S102" s="239">
        <v>167846847.52000001</v>
      </c>
      <c r="T102" s="239">
        <v>0</v>
      </c>
      <c r="U102" s="239">
        <v>0</v>
      </c>
      <c r="V102" s="239">
        <v>2478483187.3499999</v>
      </c>
      <c r="W102" s="239">
        <v>1349089407.95</v>
      </c>
      <c r="X102" s="242">
        <v>1129393779.4000001</v>
      </c>
      <c r="Y102" s="239">
        <v>4229592702.0799999</v>
      </c>
      <c r="Z102" s="242">
        <v>5526833329</v>
      </c>
      <c r="AA102" s="242">
        <v>7086513902.3500004</v>
      </c>
      <c r="AB102" s="239">
        <v>7165665.1200000001</v>
      </c>
      <c r="AC102" s="239">
        <v>69997190.900000006</v>
      </c>
      <c r="AD102" s="239">
        <v>0</v>
      </c>
      <c r="AE102" s="239">
        <v>1183910397.24</v>
      </c>
      <c r="AF102" s="242">
        <v>1261073253.26</v>
      </c>
      <c r="AG102" s="239">
        <v>522780544.42000002</v>
      </c>
      <c r="AH102" s="239">
        <v>0</v>
      </c>
      <c r="AI102" s="239">
        <v>465077004.14999998</v>
      </c>
      <c r="AJ102" s="242">
        <v>987857548.57000005</v>
      </c>
      <c r="AK102" s="242">
        <v>2248930801.8299999</v>
      </c>
      <c r="AL102" s="239">
        <v>2480174930.1500001</v>
      </c>
      <c r="AM102" s="239">
        <v>1994395449.72</v>
      </c>
      <c r="AN102" s="239">
        <v>363012720.64999998</v>
      </c>
      <c r="AO102" s="242">
        <v>4837583100.5200005</v>
      </c>
      <c r="AP102" s="242">
        <v>7086513902.3500004</v>
      </c>
      <c r="AQ102" s="239">
        <v>1622452169.79</v>
      </c>
      <c r="AR102" s="239">
        <v>0</v>
      </c>
      <c r="AS102" s="239">
        <v>158473080.58000001</v>
      </c>
      <c r="AT102" s="239">
        <v>0</v>
      </c>
      <c r="AU102" s="239">
        <v>0</v>
      </c>
      <c r="AV102" s="239">
        <v>99488128.5</v>
      </c>
      <c r="AW102" s="242">
        <v>1880413378.8699999</v>
      </c>
      <c r="AX102" s="239">
        <v>-4244226.6900000004</v>
      </c>
      <c r="AY102" s="239">
        <v>218878816.77000001</v>
      </c>
      <c r="AZ102" s="239">
        <v>12965269.609999999</v>
      </c>
      <c r="BA102" s="239">
        <v>38228472.770000003</v>
      </c>
      <c r="BB102" s="239">
        <v>0</v>
      </c>
      <c r="BC102" s="242">
        <v>265828332.46000001</v>
      </c>
      <c r="BD102" s="242">
        <v>2146241711.3299999</v>
      </c>
      <c r="BE102" s="239">
        <v>535554780.99000001</v>
      </c>
      <c r="BF102" s="239">
        <v>0</v>
      </c>
      <c r="BG102" s="239">
        <v>52436815.990000002</v>
      </c>
      <c r="BH102" s="239">
        <v>6459560.3399999999</v>
      </c>
      <c r="BI102" s="239">
        <v>10397508</v>
      </c>
      <c r="BJ102" s="239">
        <v>1433209252.8800001</v>
      </c>
      <c r="BK102" s="239">
        <v>0</v>
      </c>
      <c r="BL102" s="242">
        <v>2038057918.2</v>
      </c>
      <c r="BM102" s="242">
        <v>108183793.13</v>
      </c>
      <c r="BN102" s="239">
        <v>0</v>
      </c>
      <c r="BO102" s="239">
        <v>0</v>
      </c>
      <c r="BP102" s="239">
        <v>108183793.13</v>
      </c>
      <c r="BQ102" s="239">
        <v>0</v>
      </c>
      <c r="BR102" s="239">
        <v>0</v>
      </c>
      <c r="BS102" s="242">
        <v>108183793.13</v>
      </c>
    </row>
    <row r="103" spans="1:71" s="202" customFormat="1" ht="30" customHeight="1" x14ac:dyDescent="0.3">
      <c r="A103" s="238">
        <v>13156</v>
      </c>
      <c r="B103" s="238" t="s">
        <v>138</v>
      </c>
      <c r="C103" s="238" t="s">
        <v>75</v>
      </c>
      <c r="D103" s="238">
        <v>13156</v>
      </c>
      <c r="E103" s="238">
        <v>2026</v>
      </c>
      <c r="F103" s="238" t="s">
        <v>275</v>
      </c>
      <c r="G103" s="238">
        <v>2</v>
      </c>
      <c r="H103" s="238">
        <v>6</v>
      </c>
      <c r="I103" s="238" t="s">
        <v>703</v>
      </c>
      <c r="J103" s="239">
        <v>9739000</v>
      </c>
      <c r="K103" s="239">
        <v>23869000</v>
      </c>
      <c r="L103" s="239">
        <v>209000</v>
      </c>
      <c r="M103" s="239">
        <v>55728000</v>
      </c>
      <c r="N103" s="239">
        <v>0</v>
      </c>
      <c r="O103" s="239">
        <v>0</v>
      </c>
      <c r="P103" s="239">
        <v>58974000</v>
      </c>
      <c r="Q103" s="242">
        <v>148519000</v>
      </c>
      <c r="R103" s="239">
        <v>22636000</v>
      </c>
      <c r="S103" s="239">
        <v>0</v>
      </c>
      <c r="T103" s="239">
        <v>0</v>
      </c>
      <c r="U103" s="239">
        <v>0</v>
      </c>
      <c r="V103" s="239">
        <v>405635000</v>
      </c>
      <c r="W103" s="239">
        <v>228469000</v>
      </c>
      <c r="X103" s="242">
        <v>177166000</v>
      </c>
      <c r="Y103" s="239">
        <v>42189000</v>
      </c>
      <c r="Z103" s="242">
        <v>241991000</v>
      </c>
      <c r="AA103" s="242">
        <v>390510000</v>
      </c>
      <c r="AB103" s="239">
        <v>2405000</v>
      </c>
      <c r="AC103" s="239">
        <v>15317000</v>
      </c>
      <c r="AD103" s="239">
        <v>0</v>
      </c>
      <c r="AE103" s="239">
        <v>145662000</v>
      </c>
      <c r="AF103" s="242">
        <v>163384000</v>
      </c>
      <c r="AG103" s="239">
        <v>93689000</v>
      </c>
      <c r="AH103" s="239">
        <v>0</v>
      </c>
      <c r="AI103" s="239">
        <v>64784000</v>
      </c>
      <c r="AJ103" s="242">
        <v>158473000</v>
      </c>
      <c r="AK103" s="242">
        <v>321857000</v>
      </c>
      <c r="AL103" s="239">
        <v>63513000</v>
      </c>
      <c r="AM103" s="239">
        <v>4040000</v>
      </c>
      <c r="AN103" s="239">
        <v>1100000</v>
      </c>
      <c r="AO103" s="242">
        <v>68653000</v>
      </c>
      <c r="AP103" s="242">
        <v>390510000</v>
      </c>
      <c r="AQ103" s="239">
        <v>250524000</v>
      </c>
      <c r="AR103" s="239">
        <v>0</v>
      </c>
      <c r="AS103" s="239">
        <v>28696375.620000001</v>
      </c>
      <c r="AT103" s="239">
        <v>0</v>
      </c>
      <c r="AU103" s="239">
        <v>0</v>
      </c>
      <c r="AV103" s="239">
        <v>105000</v>
      </c>
      <c r="AW103" s="242">
        <v>279325375.62</v>
      </c>
      <c r="AX103" s="239">
        <v>899000</v>
      </c>
      <c r="AY103" s="239">
        <v>0</v>
      </c>
      <c r="AZ103" s="239">
        <v>-1485000</v>
      </c>
      <c r="BA103" s="239">
        <v>0</v>
      </c>
      <c r="BB103" s="239">
        <v>1116000</v>
      </c>
      <c r="BC103" s="242">
        <v>530000</v>
      </c>
      <c r="BD103" s="242">
        <v>279855375.62</v>
      </c>
      <c r="BE103" s="239">
        <v>143068811.81999999</v>
      </c>
      <c r="BF103" s="239">
        <v>0</v>
      </c>
      <c r="BG103" s="239">
        <v>8642000</v>
      </c>
      <c r="BH103" s="239">
        <v>2473355.2400000002</v>
      </c>
      <c r="BI103" s="239">
        <v>17825223</v>
      </c>
      <c r="BJ103" s="239">
        <v>151170985.56</v>
      </c>
      <c r="BK103" s="239">
        <v>0</v>
      </c>
      <c r="BL103" s="242">
        <v>323180375.62</v>
      </c>
      <c r="BM103" s="242">
        <v>-43325000</v>
      </c>
      <c r="BN103" s="239">
        <v>0</v>
      </c>
      <c r="BO103" s="239">
        <v>-271000</v>
      </c>
      <c r="BP103" s="239">
        <v>-43596000</v>
      </c>
      <c r="BQ103" s="239">
        <v>0</v>
      </c>
      <c r="BR103" s="239">
        <v>0</v>
      </c>
      <c r="BS103" s="242">
        <v>-43596000</v>
      </c>
    </row>
    <row r="104" spans="1:71" s="164" customFormat="1" ht="30" customHeight="1" x14ac:dyDescent="0.3">
      <c r="A104" s="233">
        <v>13158</v>
      </c>
      <c r="B104" s="233" t="s">
        <v>613</v>
      </c>
      <c r="C104" s="233" t="s">
        <v>75</v>
      </c>
      <c r="D104" s="233">
        <v>13158</v>
      </c>
      <c r="E104" s="233">
        <v>2026</v>
      </c>
      <c r="F104" s="233" t="s">
        <v>630</v>
      </c>
      <c r="G104" s="233">
        <v>1</v>
      </c>
      <c r="H104" s="233">
        <v>3</v>
      </c>
      <c r="I104" s="233" t="s">
        <v>704</v>
      </c>
      <c r="J104" s="234">
        <v>27832000</v>
      </c>
      <c r="K104" s="234">
        <v>0</v>
      </c>
      <c r="L104" s="234">
        <v>1280367000</v>
      </c>
      <c r="M104" s="234">
        <v>31013000</v>
      </c>
      <c r="N104" s="234">
        <v>179268000</v>
      </c>
      <c r="O104" s="234">
        <v>0</v>
      </c>
      <c r="P104" s="234">
        <v>11513411000</v>
      </c>
      <c r="Q104" s="242">
        <v>13031891000</v>
      </c>
      <c r="R104" s="234">
        <v>0</v>
      </c>
      <c r="S104" s="234">
        <v>0</v>
      </c>
      <c r="T104" s="234">
        <v>0</v>
      </c>
      <c r="U104" s="234">
        <v>0</v>
      </c>
      <c r="V104" s="234">
        <v>821732000</v>
      </c>
      <c r="W104" s="234">
        <v>0</v>
      </c>
      <c r="X104" s="242">
        <v>821732000</v>
      </c>
      <c r="Y104" s="234">
        <v>0</v>
      </c>
      <c r="Z104" s="242">
        <v>821732000</v>
      </c>
      <c r="AA104" s="242">
        <v>13853623000</v>
      </c>
      <c r="AB104" s="234">
        <v>0</v>
      </c>
      <c r="AC104" s="234">
        <v>0</v>
      </c>
      <c r="AD104" s="234">
        <v>0</v>
      </c>
      <c r="AE104" s="234">
        <v>1532478000</v>
      </c>
      <c r="AF104" s="242">
        <v>1532478000</v>
      </c>
      <c r="AG104" s="234">
        <v>0</v>
      </c>
      <c r="AH104" s="234">
        <v>0</v>
      </c>
      <c r="AI104" s="234">
        <v>0</v>
      </c>
      <c r="AJ104" s="242">
        <v>0</v>
      </c>
      <c r="AK104" s="242">
        <v>1532478000</v>
      </c>
      <c r="AL104" s="234">
        <v>10709653000</v>
      </c>
      <c r="AM104" s="234">
        <v>1611492000</v>
      </c>
      <c r="AN104" s="234">
        <v>0</v>
      </c>
      <c r="AO104" s="242">
        <v>12321145000</v>
      </c>
      <c r="AP104" s="242">
        <v>13853623000</v>
      </c>
      <c r="AQ104" s="234">
        <v>38802000</v>
      </c>
      <c r="AR104" s="234">
        <v>0</v>
      </c>
      <c r="AS104" s="234">
        <v>184187000</v>
      </c>
      <c r="AT104" s="234">
        <v>0</v>
      </c>
      <c r="AU104" s="234">
        <v>0</v>
      </c>
      <c r="AV104" s="234">
        <v>0</v>
      </c>
      <c r="AW104" s="242">
        <v>222989000</v>
      </c>
      <c r="AX104" s="234">
        <v>161032000</v>
      </c>
      <c r="AY104" s="234">
        <v>0</v>
      </c>
      <c r="AZ104" s="234"/>
      <c r="BA104" s="234">
        <v>0</v>
      </c>
      <c r="BB104" s="234">
        <v>0</v>
      </c>
      <c r="BC104" s="242">
        <v>161032000</v>
      </c>
      <c r="BD104" s="242">
        <v>384021000</v>
      </c>
      <c r="BE104" s="234">
        <v>0</v>
      </c>
      <c r="BF104" s="234">
        <v>0</v>
      </c>
      <c r="BG104" s="234">
        <v>0</v>
      </c>
      <c r="BH104" s="234">
        <v>0</v>
      </c>
      <c r="BI104" s="234">
        <v>0</v>
      </c>
      <c r="BJ104" s="234">
        <v>313086000</v>
      </c>
      <c r="BK104" s="234">
        <v>0</v>
      </c>
      <c r="BL104" s="242">
        <v>313086000</v>
      </c>
      <c r="BM104" s="242">
        <v>70935000</v>
      </c>
      <c r="BN104" s="234">
        <v>0</v>
      </c>
      <c r="BO104" s="234">
        <v>-214308000</v>
      </c>
      <c r="BP104" s="234">
        <v>-143373000</v>
      </c>
      <c r="BQ104" s="234">
        <v>0</v>
      </c>
      <c r="BR104" s="234">
        <v>0</v>
      </c>
      <c r="BS104" s="242">
        <v>-143373000</v>
      </c>
    </row>
    <row r="105" spans="1:71" s="202" customFormat="1" ht="30" customHeight="1" x14ac:dyDescent="0.3">
      <c r="A105" s="238">
        <v>13159</v>
      </c>
      <c r="B105" s="238" t="s">
        <v>121</v>
      </c>
      <c r="C105" s="238" t="s">
        <v>75</v>
      </c>
      <c r="D105" s="238">
        <v>13159</v>
      </c>
      <c r="E105" s="238">
        <v>2026</v>
      </c>
      <c r="F105" s="238" t="s">
        <v>276</v>
      </c>
      <c r="G105" s="238">
        <v>3</v>
      </c>
      <c r="H105" s="238">
        <v>9</v>
      </c>
      <c r="I105" s="238" t="s">
        <v>705</v>
      </c>
      <c r="J105" s="239">
        <v>286024377</v>
      </c>
      <c r="K105" s="239">
        <v>15731575</v>
      </c>
      <c r="L105" s="239">
        <v>0</v>
      </c>
      <c r="M105" s="239">
        <v>42804202</v>
      </c>
      <c r="N105" s="239">
        <v>0</v>
      </c>
      <c r="O105" s="239">
        <v>95495028</v>
      </c>
      <c r="P105" s="239">
        <v>32046543</v>
      </c>
      <c r="Q105" s="242">
        <v>472101725</v>
      </c>
      <c r="R105" s="239">
        <v>6030000</v>
      </c>
      <c r="S105" s="239">
        <v>0</v>
      </c>
      <c r="T105" s="239">
        <v>0</v>
      </c>
      <c r="U105" s="239">
        <v>0</v>
      </c>
      <c r="V105" s="239">
        <v>932827249</v>
      </c>
      <c r="W105" s="239">
        <v>683958906</v>
      </c>
      <c r="X105" s="242">
        <v>248868343</v>
      </c>
      <c r="Y105" s="239">
        <v>49898901</v>
      </c>
      <c r="Z105" s="242">
        <v>304797244</v>
      </c>
      <c r="AA105" s="242">
        <v>776898969</v>
      </c>
      <c r="AB105" s="239">
        <v>11493142</v>
      </c>
      <c r="AC105" s="239">
        <v>40609</v>
      </c>
      <c r="AD105" s="239">
        <v>0</v>
      </c>
      <c r="AE105" s="239">
        <v>132524340</v>
      </c>
      <c r="AF105" s="242">
        <v>144058091</v>
      </c>
      <c r="AG105" s="239">
        <v>72766135</v>
      </c>
      <c r="AH105" s="239">
        <v>0</v>
      </c>
      <c r="AI105" s="239">
        <v>177936453</v>
      </c>
      <c r="AJ105" s="242">
        <v>250702588</v>
      </c>
      <c r="AK105" s="242">
        <v>394760679</v>
      </c>
      <c r="AL105" s="239">
        <v>372241932</v>
      </c>
      <c r="AM105" s="239">
        <v>0</v>
      </c>
      <c r="AN105" s="239">
        <v>9896358</v>
      </c>
      <c r="AO105" s="242">
        <v>382138290</v>
      </c>
      <c r="AP105" s="242">
        <v>776898969</v>
      </c>
      <c r="AQ105" s="239">
        <v>364165244</v>
      </c>
      <c r="AR105" s="239">
        <v>82623473</v>
      </c>
      <c r="AS105" s="239">
        <v>428564190</v>
      </c>
      <c r="AT105" s="239">
        <v>0</v>
      </c>
      <c r="AU105" s="239">
        <v>0</v>
      </c>
      <c r="AV105" s="239">
        <v>0</v>
      </c>
      <c r="AW105" s="242">
        <v>875352907</v>
      </c>
      <c r="AX105" s="239">
        <v>6308569</v>
      </c>
      <c r="AY105" s="239">
        <v>794374</v>
      </c>
      <c r="AZ105" s="239"/>
      <c r="BA105" s="239">
        <v>6664085</v>
      </c>
      <c r="BB105" s="239">
        <v>0</v>
      </c>
      <c r="BC105" s="242">
        <v>13767028</v>
      </c>
      <c r="BD105" s="242">
        <v>889119935</v>
      </c>
      <c r="BE105" s="239">
        <v>520447908</v>
      </c>
      <c r="BF105" s="239">
        <v>6955594</v>
      </c>
      <c r="BG105" s="239">
        <v>32371269</v>
      </c>
      <c r="BH105" s="239">
        <v>2813286</v>
      </c>
      <c r="BI105" s="239">
        <v>3397293</v>
      </c>
      <c r="BJ105" s="239">
        <v>274767668</v>
      </c>
      <c r="BK105" s="239">
        <v>0</v>
      </c>
      <c r="BL105" s="242">
        <v>840753018</v>
      </c>
      <c r="BM105" s="242">
        <v>48366917</v>
      </c>
      <c r="BN105" s="239">
        <v>0</v>
      </c>
      <c r="BO105" s="239">
        <v>0</v>
      </c>
      <c r="BP105" s="239">
        <v>48366917</v>
      </c>
      <c r="BQ105" s="239">
        <v>0</v>
      </c>
      <c r="BR105" s="239">
        <v>0</v>
      </c>
      <c r="BS105" s="242">
        <v>48366917</v>
      </c>
    </row>
    <row r="106" spans="1:71" s="164" customFormat="1" ht="30" customHeight="1" x14ac:dyDescent="0.3">
      <c r="A106" s="238">
        <v>13198</v>
      </c>
      <c r="B106" s="238" t="s">
        <v>694</v>
      </c>
      <c r="C106" s="238" t="s">
        <v>83</v>
      </c>
      <c r="D106" s="238">
        <v>14287</v>
      </c>
      <c r="E106" s="238">
        <v>2026</v>
      </c>
      <c r="F106" s="238" t="s">
        <v>275</v>
      </c>
      <c r="G106" s="238">
        <v>2</v>
      </c>
      <c r="H106" s="238">
        <v>6</v>
      </c>
      <c r="I106" s="238" t="s">
        <v>703</v>
      </c>
      <c r="J106" s="239">
        <v>0</v>
      </c>
      <c r="K106" s="239">
        <v>0</v>
      </c>
      <c r="L106" s="239">
        <v>0</v>
      </c>
      <c r="M106" s="239">
        <v>0</v>
      </c>
      <c r="N106" s="239">
        <v>0</v>
      </c>
      <c r="O106" s="239">
        <v>0</v>
      </c>
      <c r="P106" s="239">
        <v>0</v>
      </c>
      <c r="Q106" s="242">
        <v>0</v>
      </c>
      <c r="R106" s="239">
        <v>0</v>
      </c>
      <c r="S106" s="239">
        <v>0</v>
      </c>
      <c r="T106" s="239">
        <v>0</v>
      </c>
      <c r="U106" s="239">
        <v>0</v>
      </c>
      <c r="V106" s="239">
        <v>0</v>
      </c>
      <c r="W106" s="239">
        <v>0</v>
      </c>
      <c r="X106" s="242">
        <v>0</v>
      </c>
      <c r="Y106" s="239">
        <v>0</v>
      </c>
      <c r="Z106" s="242">
        <v>0</v>
      </c>
      <c r="AA106" s="242">
        <v>0</v>
      </c>
      <c r="AB106" s="239">
        <v>0</v>
      </c>
      <c r="AC106" s="239">
        <v>0</v>
      </c>
      <c r="AD106" s="239">
        <v>0</v>
      </c>
      <c r="AE106" s="239">
        <v>0</v>
      </c>
      <c r="AF106" s="242">
        <v>0</v>
      </c>
      <c r="AG106" s="239">
        <v>0</v>
      </c>
      <c r="AH106" s="239">
        <v>0</v>
      </c>
      <c r="AI106" s="239">
        <v>0</v>
      </c>
      <c r="AJ106" s="242">
        <v>0</v>
      </c>
      <c r="AK106" s="242">
        <v>0</v>
      </c>
      <c r="AL106" s="239">
        <v>0</v>
      </c>
      <c r="AM106" s="239">
        <v>0</v>
      </c>
      <c r="AN106" s="239">
        <v>0</v>
      </c>
      <c r="AO106" s="242">
        <v>0</v>
      </c>
      <c r="AP106" s="242">
        <v>0</v>
      </c>
      <c r="AQ106" s="239">
        <v>39037314</v>
      </c>
      <c r="AR106" s="239">
        <v>0</v>
      </c>
      <c r="AS106" s="239">
        <v>55152491</v>
      </c>
      <c r="AT106" s="239">
        <v>0</v>
      </c>
      <c r="AU106" s="239">
        <v>0</v>
      </c>
      <c r="AV106" s="239">
        <v>0</v>
      </c>
      <c r="AW106" s="242">
        <v>94189805</v>
      </c>
      <c r="AX106" s="239">
        <v>0</v>
      </c>
      <c r="AY106" s="239">
        <v>0</v>
      </c>
      <c r="AZ106" s="239">
        <v>0</v>
      </c>
      <c r="BA106" s="239">
        <v>0</v>
      </c>
      <c r="BB106" s="239">
        <v>0</v>
      </c>
      <c r="BC106" s="242">
        <v>0</v>
      </c>
      <c r="BD106" s="242">
        <v>94189805</v>
      </c>
      <c r="BE106" s="239">
        <v>80208377</v>
      </c>
      <c r="BF106" s="239">
        <v>0</v>
      </c>
      <c r="BG106" s="239">
        <v>0</v>
      </c>
      <c r="BH106" s="239">
        <v>0</v>
      </c>
      <c r="BI106" s="239">
        <v>0</v>
      </c>
      <c r="BJ106" s="239">
        <v>14192118</v>
      </c>
      <c r="BK106" s="239">
        <v>0</v>
      </c>
      <c r="BL106" s="242">
        <v>94400495</v>
      </c>
      <c r="BM106" s="242">
        <v>-210690</v>
      </c>
      <c r="BN106" s="239">
        <v>0</v>
      </c>
      <c r="BO106" s="239">
        <v>0</v>
      </c>
      <c r="BP106" s="239">
        <v>-210690</v>
      </c>
      <c r="BQ106" s="239">
        <v>0</v>
      </c>
      <c r="BR106" s="239">
        <v>0</v>
      </c>
      <c r="BS106" s="242">
        <v>-210690</v>
      </c>
    </row>
    <row r="107" spans="1:71" s="202" customFormat="1" ht="30" customHeight="1" x14ac:dyDescent="0.3">
      <c r="A107" s="233">
        <v>14286</v>
      </c>
      <c r="B107" s="233" t="s">
        <v>113</v>
      </c>
      <c r="C107" s="233" t="s">
        <v>75</v>
      </c>
      <c r="D107" s="233">
        <v>14286</v>
      </c>
      <c r="E107" s="233">
        <v>2026</v>
      </c>
      <c r="F107" s="233" t="s">
        <v>275</v>
      </c>
      <c r="G107" s="233">
        <v>2</v>
      </c>
      <c r="H107" s="233">
        <v>6</v>
      </c>
      <c r="I107" s="233" t="s">
        <v>703</v>
      </c>
      <c r="J107" s="234">
        <v>269183000</v>
      </c>
      <c r="K107" s="234">
        <v>0</v>
      </c>
      <c r="L107" s="234">
        <v>0</v>
      </c>
      <c r="M107" s="234">
        <v>575091000</v>
      </c>
      <c r="N107" s="234">
        <v>0</v>
      </c>
      <c r="O107" s="234">
        <v>32989000</v>
      </c>
      <c r="P107" s="234">
        <v>436404000</v>
      </c>
      <c r="Q107" s="242">
        <v>1313667000</v>
      </c>
      <c r="R107" s="234">
        <v>3555905000</v>
      </c>
      <c r="S107" s="234">
        <v>227250000</v>
      </c>
      <c r="T107" s="234">
        <v>0</v>
      </c>
      <c r="U107" s="234">
        <v>0</v>
      </c>
      <c r="V107" s="234">
        <v>6567272000</v>
      </c>
      <c r="W107" s="234">
        <v>3025883000</v>
      </c>
      <c r="X107" s="242">
        <v>3541389000</v>
      </c>
      <c r="Y107" s="234">
        <v>4877865000</v>
      </c>
      <c r="Z107" s="242">
        <v>12202409000</v>
      </c>
      <c r="AA107" s="242">
        <v>13516076000</v>
      </c>
      <c r="AB107" s="234">
        <v>339000</v>
      </c>
      <c r="AC107" s="234">
        <v>14151000</v>
      </c>
      <c r="AD107" s="234">
        <v>0</v>
      </c>
      <c r="AE107" s="234">
        <v>740811000</v>
      </c>
      <c r="AF107" s="242">
        <v>755301000</v>
      </c>
      <c r="AG107" s="234">
        <v>2042042000</v>
      </c>
      <c r="AH107" s="234">
        <v>0</v>
      </c>
      <c r="AI107" s="234">
        <v>1096940000</v>
      </c>
      <c r="AJ107" s="242">
        <v>3138982000</v>
      </c>
      <c r="AK107" s="242">
        <v>3894283000</v>
      </c>
      <c r="AL107" s="234">
        <v>8479667000</v>
      </c>
      <c r="AM107" s="234">
        <v>768910000</v>
      </c>
      <c r="AN107" s="234">
        <v>373216000</v>
      </c>
      <c r="AO107" s="242">
        <v>9621793000</v>
      </c>
      <c r="AP107" s="242">
        <v>13516076000</v>
      </c>
      <c r="AQ107" s="234">
        <v>1918510000</v>
      </c>
      <c r="AR107" s="234">
        <v>0</v>
      </c>
      <c r="AS107" s="234">
        <v>321741000</v>
      </c>
      <c r="AT107" s="234">
        <v>0</v>
      </c>
      <c r="AU107" s="234">
        <v>0</v>
      </c>
      <c r="AV107" s="234">
        <v>48973000</v>
      </c>
      <c r="AW107" s="242">
        <v>2289224000</v>
      </c>
      <c r="AX107" s="234">
        <v>178420000</v>
      </c>
      <c r="AY107" s="234">
        <v>17250000</v>
      </c>
      <c r="AZ107" s="234">
        <v>-158476000</v>
      </c>
      <c r="BA107" s="234">
        <v>-18129000</v>
      </c>
      <c r="BB107" s="234">
        <v>112190000</v>
      </c>
      <c r="BC107" s="242">
        <v>131255000</v>
      </c>
      <c r="BD107" s="242">
        <v>2420479000</v>
      </c>
      <c r="BE107" s="234">
        <v>1345583000</v>
      </c>
      <c r="BF107" s="234">
        <v>0</v>
      </c>
      <c r="BG107" s="234">
        <v>103952000</v>
      </c>
      <c r="BH107" s="234">
        <v>17358000</v>
      </c>
      <c r="BI107" s="234">
        <v>37237000</v>
      </c>
      <c r="BJ107" s="234">
        <v>835537000</v>
      </c>
      <c r="BK107" s="234">
        <v>0</v>
      </c>
      <c r="BL107" s="242">
        <v>2339667000</v>
      </c>
      <c r="BM107" s="242">
        <v>80812000</v>
      </c>
      <c r="BN107" s="234">
        <v>8837000</v>
      </c>
      <c r="BO107" s="234">
        <v>20190000</v>
      </c>
      <c r="BP107" s="234">
        <v>109839000</v>
      </c>
      <c r="BQ107" s="234">
        <v>2199000</v>
      </c>
      <c r="BR107" s="234">
        <v>0</v>
      </c>
      <c r="BS107" s="242">
        <v>112038000</v>
      </c>
    </row>
    <row r="108" spans="1:71" s="164" customFormat="1" ht="30" customHeight="1" x14ac:dyDescent="0.3">
      <c r="A108" s="238">
        <v>14287</v>
      </c>
      <c r="B108" s="238" t="s">
        <v>117</v>
      </c>
      <c r="C108" s="238" t="s">
        <v>75</v>
      </c>
      <c r="D108" s="238">
        <v>14287</v>
      </c>
      <c r="E108" s="238">
        <v>2026</v>
      </c>
      <c r="F108" s="238" t="s">
        <v>275</v>
      </c>
      <c r="G108" s="238">
        <v>2</v>
      </c>
      <c r="H108" s="238">
        <v>6</v>
      </c>
      <c r="I108" s="238" t="s">
        <v>703</v>
      </c>
      <c r="J108" s="239">
        <v>934970134</v>
      </c>
      <c r="K108" s="239">
        <v>0</v>
      </c>
      <c r="L108" s="239">
        <v>0</v>
      </c>
      <c r="M108" s="239">
        <v>342951380</v>
      </c>
      <c r="N108" s="239">
        <v>0</v>
      </c>
      <c r="O108" s="239">
        <v>5715291</v>
      </c>
      <c r="P108" s="239">
        <v>1025142501</v>
      </c>
      <c r="Q108" s="242">
        <v>2308779306</v>
      </c>
      <c r="R108" s="239">
        <v>1022645421</v>
      </c>
      <c r="S108" s="239">
        <v>14091100</v>
      </c>
      <c r="T108" s="239">
        <v>0</v>
      </c>
      <c r="U108" s="239">
        <v>0</v>
      </c>
      <c r="V108" s="239">
        <v>2639924065</v>
      </c>
      <c r="W108" s="239">
        <v>1393190660</v>
      </c>
      <c r="X108" s="242">
        <v>1246733405</v>
      </c>
      <c r="Y108" s="239">
        <v>575409446</v>
      </c>
      <c r="Z108" s="242">
        <v>2858879372</v>
      </c>
      <c r="AA108" s="242">
        <v>5167658678</v>
      </c>
      <c r="AB108" s="239">
        <v>9279871</v>
      </c>
      <c r="AC108" s="239">
        <v>0</v>
      </c>
      <c r="AD108" s="239">
        <v>0</v>
      </c>
      <c r="AE108" s="239">
        <v>1954220904</v>
      </c>
      <c r="AF108" s="242">
        <v>1963500775</v>
      </c>
      <c r="AG108" s="239">
        <v>881571609</v>
      </c>
      <c r="AH108" s="239">
        <v>0</v>
      </c>
      <c r="AI108" s="239">
        <v>203525904</v>
      </c>
      <c r="AJ108" s="242">
        <v>1085097513</v>
      </c>
      <c r="AK108" s="242">
        <v>3048598288</v>
      </c>
      <c r="AL108" s="239">
        <v>1675236128</v>
      </c>
      <c r="AM108" s="239">
        <v>0</v>
      </c>
      <c r="AN108" s="239">
        <v>443824262</v>
      </c>
      <c r="AO108" s="242">
        <v>2119060390</v>
      </c>
      <c r="AP108" s="242">
        <v>5167658678</v>
      </c>
      <c r="AQ108" s="239">
        <v>1154867628</v>
      </c>
      <c r="AR108" s="239">
        <v>0</v>
      </c>
      <c r="AS108" s="239">
        <v>3395447359</v>
      </c>
      <c r="AT108" s="239">
        <v>0</v>
      </c>
      <c r="AU108" s="239">
        <v>0</v>
      </c>
      <c r="AV108" s="239">
        <v>16903580</v>
      </c>
      <c r="AW108" s="242">
        <v>4567218567</v>
      </c>
      <c r="AX108" s="239">
        <v>42724094</v>
      </c>
      <c r="AY108" s="239">
        <v>3718310</v>
      </c>
      <c r="AZ108" s="239">
        <v>-10461224</v>
      </c>
      <c r="BA108" s="239">
        <v>714157</v>
      </c>
      <c r="BB108" s="239">
        <v>0</v>
      </c>
      <c r="BC108" s="242">
        <v>36695337</v>
      </c>
      <c r="BD108" s="242">
        <v>4603913904</v>
      </c>
      <c r="BE108" s="239">
        <v>1226934808</v>
      </c>
      <c r="BF108" s="239">
        <v>0</v>
      </c>
      <c r="BG108" s="239">
        <v>65318592</v>
      </c>
      <c r="BH108" s="239">
        <v>17358866</v>
      </c>
      <c r="BI108" s="239">
        <v>77112957</v>
      </c>
      <c r="BJ108" s="239">
        <v>3344166633</v>
      </c>
      <c r="BK108" s="239">
        <v>0</v>
      </c>
      <c r="BL108" s="242">
        <v>4730891856</v>
      </c>
      <c r="BM108" s="242">
        <v>-126977952</v>
      </c>
      <c r="BN108" s="239">
        <v>0</v>
      </c>
      <c r="BO108" s="239">
        <v>0</v>
      </c>
      <c r="BP108" s="239">
        <v>-126977952</v>
      </c>
      <c r="BQ108" s="239">
        <v>0</v>
      </c>
      <c r="BR108" s="239">
        <v>0</v>
      </c>
      <c r="BS108" s="242">
        <v>-126977952</v>
      </c>
    </row>
    <row r="109" spans="1:71" s="202" customFormat="1" ht="30" customHeight="1" x14ac:dyDescent="0.3">
      <c r="A109" s="233">
        <v>14288</v>
      </c>
      <c r="B109" s="233" t="s">
        <v>183</v>
      </c>
      <c r="C109" s="233" t="s">
        <v>75</v>
      </c>
      <c r="D109" s="233">
        <v>14288</v>
      </c>
      <c r="E109" s="233">
        <v>2026</v>
      </c>
      <c r="F109" s="233" t="s">
        <v>276</v>
      </c>
      <c r="G109" s="233">
        <v>3</v>
      </c>
      <c r="H109" s="233">
        <v>9</v>
      </c>
      <c r="I109" s="233" t="s">
        <v>705</v>
      </c>
      <c r="J109" s="234">
        <v>539756401</v>
      </c>
      <c r="K109" s="234">
        <v>6297171290</v>
      </c>
      <c r="L109" s="234">
        <v>439602640</v>
      </c>
      <c r="M109" s="234">
        <v>2925383737</v>
      </c>
      <c r="N109" s="234">
        <v>0</v>
      </c>
      <c r="O109" s="234">
        <v>646915484</v>
      </c>
      <c r="P109" s="234">
        <v>2384523079</v>
      </c>
      <c r="Q109" s="242">
        <v>13233352631</v>
      </c>
      <c r="R109" s="234">
        <v>11128330592</v>
      </c>
      <c r="S109" s="234">
        <v>15153459</v>
      </c>
      <c r="T109" s="234">
        <v>0</v>
      </c>
      <c r="U109" s="234">
        <v>489971357</v>
      </c>
      <c r="V109" s="234">
        <v>21555315328</v>
      </c>
      <c r="W109" s="234">
        <v>12422496733</v>
      </c>
      <c r="X109" s="242">
        <v>9132818595</v>
      </c>
      <c r="Y109" s="234">
        <v>2023679009</v>
      </c>
      <c r="Z109" s="242">
        <v>22789953012</v>
      </c>
      <c r="AA109" s="242">
        <v>36023305643</v>
      </c>
      <c r="AB109" s="234">
        <v>852710605</v>
      </c>
      <c r="AC109" s="234">
        <v>202014748</v>
      </c>
      <c r="AD109" s="234">
        <v>0</v>
      </c>
      <c r="AE109" s="234">
        <v>4411662426</v>
      </c>
      <c r="AF109" s="242">
        <v>5466387779</v>
      </c>
      <c r="AG109" s="234">
        <v>6339708943</v>
      </c>
      <c r="AH109" s="234">
        <v>0</v>
      </c>
      <c r="AI109" s="234">
        <v>2650714123</v>
      </c>
      <c r="AJ109" s="242">
        <v>8990423066</v>
      </c>
      <c r="AK109" s="242">
        <v>14456810845</v>
      </c>
      <c r="AL109" s="234">
        <v>20821715829</v>
      </c>
      <c r="AM109" s="234">
        <v>462502049</v>
      </c>
      <c r="AN109" s="234">
        <v>282276920</v>
      </c>
      <c r="AO109" s="242">
        <v>21566494798</v>
      </c>
      <c r="AP109" s="242">
        <v>36023305643</v>
      </c>
      <c r="AQ109" s="234">
        <v>16744650184</v>
      </c>
      <c r="AR109" s="234">
        <v>69068895</v>
      </c>
      <c r="AS109" s="234">
        <v>3178590532</v>
      </c>
      <c r="AT109" s="234">
        <v>20845372</v>
      </c>
      <c r="AU109" s="234">
        <v>0</v>
      </c>
      <c r="AV109" s="234">
        <v>20896942</v>
      </c>
      <c r="AW109" s="242">
        <v>20034051925</v>
      </c>
      <c r="AX109" s="234">
        <v>732933035</v>
      </c>
      <c r="AY109" s="234">
        <v>0</v>
      </c>
      <c r="AZ109" s="234"/>
      <c r="BA109" s="234">
        <v>-107158096</v>
      </c>
      <c r="BB109" s="234">
        <v>0</v>
      </c>
      <c r="BC109" s="242">
        <v>857290070</v>
      </c>
      <c r="BD109" s="242">
        <v>20891341995</v>
      </c>
      <c r="BE109" s="234">
        <v>10474090939</v>
      </c>
      <c r="BF109" s="234">
        <v>891752826</v>
      </c>
      <c r="BG109" s="234">
        <v>696769229</v>
      </c>
      <c r="BH109" s="234">
        <v>188369352</v>
      </c>
      <c r="BI109" s="234">
        <v>10412343</v>
      </c>
      <c r="BJ109" s="234">
        <v>7572660661</v>
      </c>
      <c r="BK109" s="234">
        <v>0</v>
      </c>
      <c r="BL109" s="242">
        <v>19834055350</v>
      </c>
      <c r="BM109" s="242">
        <v>1057286645</v>
      </c>
      <c r="BN109" s="234">
        <v>0</v>
      </c>
      <c r="BO109" s="234">
        <v>41066388</v>
      </c>
      <c r="BP109" s="234">
        <v>1098353033</v>
      </c>
      <c r="BQ109" s="234">
        <v>47451351</v>
      </c>
      <c r="BR109" s="234">
        <v>0</v>
      </c>
      <c r="BS109" s="242">
        <v>1145804384</v>
      </c>
    </row>
    <row r="110" spans="1:71" s="164" customFormat="1" ht="30" customHeight="1" x14ac:dyDescent="0.3">
      <c r="A110" s="233">
        <v>14418</v>
      </c>
      <c r="B110" s="233" t="s">
        <v>120</v>
      </c>
      <c r="C110" s="233" t="s">
        <v>83</v>
      </c>
      <c r="D110" s="233">
        <v>14287</v>
      </c>
      <c r="E110" s="233">
        <v>2026</v>
      </c>
      <c r="F110" s="233" t="s">
        <v>275</v>
      </c>
      <c r="G110" s="233">
        <v>2</v>
      </c>
      <c r="H110" s="233">
        <v>6</v>
      </c>
      <c r="I110" s="233" t="s">
        <v>703</v>
      </c>
      <c r="J110" s="234">
        <v>0</v>
      </c>
      <c r="K110" s="234">
        <v>0</v>
      </c>
      <c r="L110" s="234">
        <v>0</v>
      </c>
      <c r="M110" s="234">
        <v>0</v>
      </c>
      <c r="N110" s="234">
        <v>0</v>
      </c>
      <c r="O110" s="234">
        <v>0</v>
      </c>
      <c r="P110" s="234">
        <v>0</v>
      </c>
      <c r="Q110" s="242">
        <v>0</v>
      </c>
      <c r="R110" s="234">
        <v>0</v>
      </c>
      <c r="S110" s="234">
        <v>0</v>
      </c>
      <c r="T110" s="234">
        <v>0</v>
      </c>
      <c r="U110" s="234">
        <v>0</v>
      </c>
      <c r="V110" s="234">
        <v>0</v>
      </c>
      <c r="W110" s="234">
        <v>0</v>
      </c>
      <c r="X110" s="242">
        <v>0</v>
      </c>
      <c r="Y110" s="234">
        <v>0</v>
      </c>
      <c r="Z110" s="242">
        <v>0</v>
      </c>
      <c r="AA110" s="242">
        <v>0</v>
      </c>
      <c r="AB110" s="234">
        <v>0</v>
      </c>
      <c r="AC110" s="234">
        <v>0</v>
      </c>
      <c r="AD110" s="234">
        <v>0</v>
      </c>
      <c r="AE110" s="234">
        <v>0</v>
      </c>
      <c r="AF110" s="242">
        <v>0</v>
      </c>
      <c r="AG110" s="234">
        <v>0</v>
      </c>
      <c r="AH110" s="234">
        <v>0</v>
      </c>
      <c r="AI110" s="234">
        <v>0</v>
      </c>
      <c r="AJ110" s="242">
        <v>0</v>
      </c>
      <c r="AK110" s="242">
        <v>0</v>
      </c>
      <c r="AL110" s="234">
        <v>0</v>
      </c>
      <c r="AM110" s="234">
        <v>0</v>
      </c>
      <c r="AN110" s="234">
        <v>0</v>
      </c>
      <c r="AO110" s="242">
        <v>0</v>
      </c>
      <c r="AP110" s="242">
        <v>0</v>
      </c>
      <c r="AQ110" s="234">
        <v>108242386</v>
      </c>
      <c r="AR110" s="234">
        <v>0</v>
      </c>
      <c r="AS110" s="234">
        <v>175875621</v>
      </c>
      <c r="AT110" s="234">
        <v>0</v>
      </c>
      <c r="AU110" s="234">
        <v>0</v>
      </c>
      <c r="AV110" s="234">
        <v>0</v>
      </c>
      <c r="AW110" s="242">
        <v>284118007</v>
      </c>
      <c r="AX110" s="234">
        <v>2397304</v>
      </c>
      <c r="AY110" s="234">
        <v>0</v>
      </c>
      <c r="AZ110" s="234">
        <v>-1571406</v>
      </c>
      <c r="BA110" s="234">
        <v>-14500</v>
      </c>
      <c r="BB110" s="234">
        <v>0</v>
      </c>
      <c r="BC110" s="242">
        <v>811398</v>
      </c>
      <c r="BD110" s="242">
        <v>284929405</v>
      </c>
      <c r="BE110" s="234">
        <v>262310892</v>
      </c>
      <c r="BF110" s="234">
        <v>0</v>
      </c>
      <c r="BG110" s="234">
        <v>269240</v>
      </c>
      <c r="BH110" s="234">
        <v>4180</v>
      </c>
      <c r="BI110" s="234">
        <v>0</v>
      </c>
      <c r="BJ110" s="234">
        <v>33497363</v>
      </c>
      <c r="BK110" s="234">
        <v>0</v>
      </c>
      <c r="BL110" s="242">
        <v>296081675</v>
      </c>
      <c r="BM110" s="242">
        <v>-11152270</v>
      </c>
      <c r="BN110" s="234">
        <v>7525153</v>
      </c>
      <c r="BO110" s="234">
        <v>0</v>
      </c>
      <c r="BP110" s="234">
        <v>-3627117</v>
      </c>
      <c r="BQ110" s="234">
        <v>0</v>
      </c>
      <c r="BR110" s="234">
        <v>0</v>
      </c>
      <c r="BS110" s="242">
        <v>-3627117</v>
      </c>
    </row>
    <row r="111" spans="1:71" s="202" customFormat="1" ht="30" customHeight="1" x14ac:dyDescent="0.3">
      <c r="A111" s="238">
        <v>14420</v>
      </c>
      <c r="B111" s="238" t="s">
        <v>194</v>
      </c>
      <c r="C111" s="238" t="s">
        <v>83</v>
      </c>
      <c r="D111" s="238">
        <v>12775</v>
      </c>
      <c r="E111" s="238">
        <v>2026</v>
      </c>
      <c r="F111" s="238" t="s">
        <v>275</v>
      </c>
      <c r="G111" s="238">
        <v>2</v>
      </c>
      <c r="H111" s="238">
        <v>6</v>
      </c>
      <c r="I111" s="238" t="s">
        <v>703</v>
      </c>
      <c r="J111" s="239">
        <v>0</v>
      </c>
      <c r="K111" s="239">
        <v>0</v>
      </c>
      <c r="L111" s="239">
        <v>0</v>
      </c>
      <c r="M111" s="239">
        <v>0</v>
      </c>
      <c r="N111" s="239">
        <v>0</v>
      </c>
      <c r="O111" s="239">
        <v>0</v>
      </c>
      <c r="P111" s="239">
        <v>0</v>
      </c>
      <c r="Q111" s="242">
        <v>0</v>
      </c>
      <c r="R111" s="239">
        <v>0</v>
      </c>
      <c r="S111" s="239">
        <v>0</v>
      </c>
      <c r="T111" s="239">
        <v>0</v>
      </c>
      <c r="U111" s="239">
        <v>0</v>
      </c>
      <c r="V111" s="239">
        <v>0</v>
      </c>
      <c r="W111" s="239">
        <v>0</v>
      </c>
      <c r="X111" s="242">
        <v>0</v>
      </c>
      <c r="Y111" s="239">
        <v>0</v>
      </c>
      <c r="Z111" s="242">
        <v>0</v>
      </c>
      <c r="AA111" s="242">
        <v>0</v>
      </c>
      <c r="AB111" s="239">
        <v>0</v>
      </c>
      <c r="AC111" s="239">
        <v>0</v>
      </c>
      <c r="AD111" s="239">
        <v>0</v>
      </c>
      <c r="AE111" s="239">
        <v>0</v>
      </c>
      <c r="AF111" s="242">
        <v>0</v>
      </c>
      <c r="AG111" s="239">
        <v>0</v>
      </c>
      <c r="AH111" s="239">
        <v>0</v>
      </c>
      <c r="AI111" s="239">
        <v>0</v>
      </c>
      <c r="AJ111" s="242">
        <v>0</v>
      </c>
      <c r="AK111" s="242">
        <v>0</v>
      </c>
      <c r="AL111" s="239">
        <v>0</v>
      </c>
      <c r="AM111" s="239">
        <v>0</v>
      </c>
      <c r="AN111" s="239">
        <v>0</v>
      </c>
      <c r="AO111" s="242">
        <v>0</v>
      </c>
      <c r="AP111" s="242">
        <v>0</v>
      </c>
      <c r="AQ111" s="239">
        <v>37787000</v>
      </c>
      <c r="AR111" s="239">
        <v>0</v>
      </c>
      <c r="AS111" s="239">
        <v>12261000</v>
      </c>
      <c r="AT111" s="239">
        <v>0</v>
      </c>
      <c r="AU111" s="239">
        <v>0</v>
      </c>
      <c r="AV111" s="239">
        <v>0</v>
      </c>
      <c r="AW111" s="242">
        <v>50048000</v>
      </c>
      <c r="AX111" s="239">
        <v>0</v>
      </c>
      <c r="AY111" s="239">
        <v>0</v>
      </c>
      <c r="AZ111" s="239">
        <v>0</v>
      </c>
      <c r="BA111" s="239">
        <v>0</v>
      </c>
      <c r="BB111" s="239">
        <v>0</v>
      </c>
      <c r="BC111" s="242">
        <v>0</v>
      </c>
      <c r="BD111" s="242">
        <v>50048000</v>
      </c>
      <c r="BE111" s="239">
        <v>41302000</v>
      </c>
      <c r="BF111" s="239">
        <v>0</v>
      </c>
      <c r="BG111" s="239">
        <v>242000</v>
      </c>
      <c r="BH111" s="239">
        <v>0</v>
      </c>
      <c r="BI111" s="239">
        <v>0</v>
      </c>
      <c r="BJ111" s="239">
        <v>17378000</v>
      </c>
      <c r="BK111" s="239">
        <v>0</v>
      </c>
      <c r="BL111" s="242">
        <v>58922000</v>
      </c>
      <c r="BM111" s="242">
        <v>-8874000</v>
      </c>
      <c r="BN111" s="239">
        <v>-14812000</v>
      </c>
      <c r="BO111" s="239">
        <v>0</v>
      </c>
      <c r="BP111" s="239">
        <v>-23686000</v>
      </c>
      <c r="BQ111" s="239">
        <v>0</v>
      </c>
      <c r="BR111" s="239">
        <v>0</v>
      </c>
      <c r="BS111" s="242">
        <v>-23686000</v>
      </c>
    </row>
    <row r="112" spans="1:71" s="164" customFormat="1" ht="30" customHeight="1" x14ac:dyDescent="0.3">
      <c r="A112" s="233">
        <v>14421</v>
      </c>
      <c r="B112" s="233" t="s">
        <v>106</v>
      </c>
      <c r="C112" s="233" t="s">
        <v>83</v>
      </c>
      <c r="D112" s="233">
        <v>16665</v>
      </c>
      <c r="E112" s="233">
        <v>2026</v>
      </c>
      <c r="F112" s="233" t="s">
        <v>275</v>
      </c>
      <c r="G112" s="233">
        <v>2</v>
      </c>
      <c r="H112" s="233">
        <v>6</v>
      </c>
      <c r="I112" s="233" t="s">
        <v>703</v>
      </c>
      <c r="J112" s="234">
        <v>0</v>
      </c>
      <c r="K112" s="234">
        <v>0</v>
      </c>
      <c r="L112" s="234">
        <v>0</v>
      </c>
      <c r="M112" s="234">
        <v>0</v>
      </c>
      <c r="N112" s="234">
        <v>0</v>
      </c>
      <c r="O112" s="234">
        <v>0</v>
      </c>
      <c r="P112" s="234">
        <v>0</v>
      </c>
      <c r="Q112" s="242">
        <v>0</v>
      </c>
      <c r="R112" s="234">
        <v>0</v>
      </c>
      <c r="S112" s="234">
        <v>0</v>
      </c>
      <c r="T112" s="234">
        <v>0</v>
      </c>
      <c r="U112" s="234">
        <v>0</v>
      </c>
      <c r="V112" s="234">
        <v>0</v>
      </c>
      <c r="W112" s="234">
        <v>0</v>
      </c>
      <c r="X112" s="242">
        <v>0</v>
      </c>
      <c r="Y112" s="234">
        <v>0</v>
      </c>
      <c r="Z112" s="242">
        <v>0</v>
      </c>
      <c r="AA112" s="242">
        <v>0</v>
      </c>
      <c r="AB112" s="234">
        <v>0</v>
      </c>
      <c r="AC112" s="234">
        <v>0</v>
      </c>
      <c r="AD112" s="234">
        <v>0</v>
      </c>
      <c r="AE112" s="234">
        <v>0</v>
      </c>
      <c r="AF112" s="242">
        <v>0</v>
      </c>
      <c r="AG112" s="234">
        <v>0</v>
      </c>
      <c r="AH112" s="234">
        <v>0</v>
      </c>
      <c r="AI112" s="234">
        <v>0</v>
      </c>
      <c r="AJ112" s="242">
        <v>0</v>
      </c>
      <c r="AK112" s="242">
        <v>0</v>
      </c>
      <c r="AL112" s="234">
        <v>0</v>
      </c>
      <c r="AM112" s="234">
        <v>0</v>
      </c>
      <c r="AN112" s="234">
        <v>0</v>
      </c>
      <c r="AO112" s="242">
        <v>0</v>
      </c>
      <c r="AP112" s="242">
        <v>0</v>
      </c>
      <c r="AQ112" s="234">
        <v>154800000</v>
      </c>
      <c r="AR112" s="234">
        <v>0</v>
      </c>
      <c r="AS112" s="234">
        <v>23166000</v>
      </c>
      <c r="AT112" s="234">
        <v>0</v>
      </c>
      <c r="AU112" s="234">
        <v>0</v>
      </c>
      <c r="AV112" s="234">
        <v>0</v>
      </c>
      <c r="AW112" s="242">
        <v>177966000</v>
      </c>
      <c r="AX112" s="234">
        <v>-19000</v>
      </c>
      <c r="AY112" s="234">
        <v>0</v>
      </c>
      <c r="AZ112" s="234">
        <v>-19000</v>
      </c>
      <c r="BA112" s="234">
        <v>0</v>
      </c>
      <c r="BB112" s="234">
        <v>0</v>
      </c>
      <c r="BC112" s="242">
        <v>-38000</v>
      </c>
      <c r="BD112" s="242">
        <v>177928000</v>
      </c>
      <c r="BE112" s="234">
        <v>231881000</v>
      </c>
      <c r="BF112" s="234">
        <v>0</v>
      </c>
      <c r="BG112" s="234">
        <v>1076000</v>
      </c>
      <c r="BH112" s="234">
        <v>95000</v>
      </c>
      <c r="BI112" s="234">
        <v>0</v>
      </c>
      <c r="BJ112" s="234">
        <v>9379000</v>
      </c>
      <c r="BK112" s="234">
        <v>0</v>
      </c>
      <c r="BL112" s="242">
        <v>242431000</v>
      </c>
      <c r="BM112" s="242">
        <v>-64503000</v>
      </c>
      <c r="BN112" s="234">
        <v>64503000</v>
      </c>
      <c r="BO112" s="234">
        <v>0</v>
      </c>
      <c r="BP112" s="234">
        <v>0</v>
      </c>
      <c r="BQ112" s="234">
        <v>0</v>
      </c>
      <c r="BR112" s="234">
        <v>0</v>
      </c>
      <c r="BS112" s="242">
        <v>0</v>
      </c>
    </row>
    <row r="113" spans="1:71" s="202" customFormat="1" ht="30" customHeight="1" x14ac:dyDescent="0.3">
      <c r="A113" s="233">
        <v>14422</v>
      </c>
      <c r="B113" s="233" t="s">
        <v>107</v>
      </c>
      <c r="C113" s="233" t="s">
        <v>83</v>
      </c>
      <c r="D113" s="233">
        <v>16665</v>
      </c>
      <c r="E113" s="233">
        <v>2026</v>
      </c>
      <c r="F113" s="233" t="s">
        <v>275</v>
      </c>
      <c r="G113" s="233">
        <v>2</v>
      </c>
      <c r="H113" s="233">
        <v>6</v>
      </c>
      <c r="I113" s="233" t="s">
        <v>703</v>
      </c>
      <c r="J113" s="234">
        <v>0</v>
      </c>
      <c r="K113" s="234">
        <v>0</v>
      </c>
      <c r="L113" s="234">
        <v>0</v>
      </c>
      <c r="M113" s="234">
        <v>0</v>
      </c>
      <c r="N113" s="234">
        <v>0</v>
      </c>
      <c r="O113" s="234">
        <v>0</v>
      </c>
      <c r="P113" s="234">
        <v>0</v>
      </c>
      <c r="Q113" s="242">
        <v>0</v>
      </c>
      <c r="R113" s="234">
        <v>0</v>
      </c>
      <c r="S113" s="234">
        <v>0</v>
      </c>
      <c r="T113" s="234">
        <v>0</v>
      </c>
      <c r="U113" s="234">
        <v>0</v>
      </c>
      <c r="V113" s="234">
        <v>0</v>
      </c>
      <c r="W113" s="234">
        <v>0</v>
      </c>
      <c r="X113" s="242">
        <v>0</v>
      </c>
      <c r="Y113" s="234">
        <v>0</v>
      </c>
      <c r="Z113" s="242">
        <v>0</v>
      </c>
      <c r="AA113" s="242">
        <v>0</v>
      </c>
      <c r="AB113" s="234">
        <v>0</v>
      </c>
      <c r="AC113" s="234">
        <v>0</v>
      </c>
      <c r="AD113" s="234">
        <v>0</v>
      </c>
      <c r="AE113" s="234">
        <v>0</v>
      </c>
      <c r="AF113" s="242">
        <v>0</v>
      </c>
      <c r="AG113" s="234">
        <v>0</v>
      </c>
      <c r="AH113" s="234">
        <v>0</v>
      </c>
      <c r="AI113" s="234">
        <v>0</v>
      </c>
      <c r="AJ113" s="242">
        <v>0</v>
      </c>
      <c r="AK113" s="242">
        <v>0</v>
      </c>
      <c r="AL113" s="234">
        <v>0</v>
      </c>
      <c r="AM113" s="234">
        <v>0</v>
      </c>
      <c r="AN113" s="234">
        <v>0</v>
      </c>
      <c r="AO113" s="242">
        <v>0</v>
      </c>
      <c r="AP113" s="242">
        <v>0</v>
      </c>
      <c r="AQ113" s="234">
        <v>62041000</v>
      </c>
      <c r="AR113" s="234">
        <v>0</v>
      </c>
      <c r="AS113" s="234">
        <v>3477000</v>
      </c>
      <c r="AT113" s="234">
        <v>0</v>
      </c>
      <c r="AU113" s="234">
        <v>0</v>
      </c>
      <c r="AV113" s="234">
        <v>0</v>
      </c>
      <c r="AW113" s="242">
        <v>65518000</v>
      </c>
      <c r="AX113" s="234">
        <v>0</v>
      </c>
      <c r="AY113" s="234">
        <v>0</v>
      </c>
      <c r="AZ113" s="234">
        <v>0</v>
      </c>
      <c r="BA113" s="234">
        <v>0</v>
      </c>
      <c r="BB113" s="234">
        <v>0</v>
      </c>
      <c r="BC113" s="242">
        <v>0</v>
      </c>
      <c r="BD113" s="242">
        <v>65518000</v>
      </c>
      <c r="BE113" s="234">
        <v>69391000</v>
      </c>
      <c r="BF113" s="234">
        <v>0</v>
      </c>
      <c r="BG113" s="234">
        <v>768000</v>
      </c>
      <c r="BH113" s="234">
        <v>0</v>
      </c>
      <c r="BI113" s="234">
        <v>0</v>
      </c>
      <c r="BJ113" s="234">
        <v>21857000</v>
      </c>
      <c r="BK113" s="234">
        <v>0</v>
      </c>
      <c r="BL113" s="242">
        <v>92016000</v>
      </c>
      <c r="BM113" s="242">
        <v>-26498000</v>
      </c>
      <c r="BN113" s="234">
        <v>-1292000</v>
      </c>
      <c r="BO113" s="234">
        <v>0</v>
      </c>
      <c r="BP113" s="234">
        <v>-27790000</v>
      </c>
      <c r="BQ113" s="234">
        <v>0</v>
      </c>
      <c r="BR113" s="234">
        <v>0</v>
      </c>
      <c r="BS113" s="242">
        <v>-27790000</v>
      </c>
    </row>
    <row r="114" spans="1:71" s="164" customFormat="1" ht="30" customHeight="1" x14ac:dyDescent="0.3">
      <c r="A114" s="238">
        <v>14423</v>
      </c>
      <c r="B114" s="238" t="s">
        <v>153</v>
      </c>
      <c r="C114" s="238" t="s">
        <v>83</v>
      </c>
      <c r="D114" s="238">
        <v>3791</v>
      </c>
      <c r="E114" s="238">
        <v>2026</v>
      </c>
      <c r="F114" s="238" t="s">
        <v>275</v>
      </c>
      <c r="G114" s="238">
        <v>2</v>
      </c>
      <c r="H114" s="238">
        <v>6</v>
      </c>
      <c r="I114" s="238" t="s">
        <v>703</v>
      </c>
      <c r="J114" s="239">
        <v>0</v>
      </c>
      <c r="K114" s="239">
        <v>0</v>
      </c>
      <c r="L114" s="239">
        <v>0</v>
      </c>
      <c r="M114" s="239">
        <v>0</v>
      </c>
      <c r="N114" s="239">
        <v>0</v>
      </c>
      <c r="O114" s="239">
        <v>0</v>
      </c>
      <c r="P114" s="239">
        <v>0</v>
      </c>
      <c r="Q114" s="242">
        <v>0</v>
      </c>
      <c r="R114" s="239">
        <v>0</v>
      </c>
      <c r="S114" s="239">
        <v>0</v>
      </c>
      <c r="T114" s="239">
        <v>0</v>
      </c>
      <c r="U114" s="239">
        <v>0</v>
      </c>
      <c r="V114" s="239">
        <v>0</v>
      </c>
      <c r="W114" s="239">
        <v>0</v>
      </c>
      <c r="X114" s="242">
        <v>0</v>
      </c>
      <c r="Y114" s="239">
        <v>0</v>
      </c>
      <c r="Z114" s="242">
        <v>0</v>
      </c>
      <c r="AA114" s="242">
        <v>0</v>
      </c>
      <c r="AB114" s="239">
        <v>0</v>
      </c>
      <c r="AC114" s="239">
        <v>0</v>
      </c>
      <c r="AD114" s="239">
        <v>0</v>
      </c>
      <c r="AE114" s="239">
        <v>0</v>
      </c>
      <c r="AF114" s="242">
        <v>0</v>
      </c>
      <c r="AG114" s="239">
        <v>0</v>
      </c>
      <c r="AH114" s="239">
        <v>0</v>
      </c>
      <c r="AI114" s="239">
        <v>0</v>
      </c>
      <c r="AJ114" s="242">
        <v>0</v>
      </c>
      <c r="AK114" s="242">
        <v>0</v>
      </c>
      <c r="AL114" s="239">
        <v>0</v>
      </c>
      <c r="AM114" s="239">
        <v>0</v>
      </c>
      <c r="AN114" s="239">
        <v>0</v>
      </c>
      <c r="AO114" s="242">
        <v>0</v>
      </c>
      <c r="AP114" s="242">
        <v>0</v>
      </c>
      <c r="AQ114" s="239">
        <v>92022000</v>
      </c>
      <c r="AR114" s="239">
        <v>0</v>
      </c>
      <c r="AS114" s="239">
        <v>15931000</v>
      </c>
      <c r="AT114" s="239">
        <v>0</v>
      </c>
      <c r="AU114" s="239">
        <v>0</v>
      </c>
      <c r="AV114" s="239">
        <v>0</v>
      </c>
      <c r="AW114" s="242">
        <v>107953000</v>
      </c>
      <c r="AX114" s="239">
        <v>428000</v>
      </c>
      <c r="AY114" s="239">
        <v>0</v>
      </c>
      <c r="AZ114" s="239">
        <v>-1000</v>
      </c>
      <c r="BA114" s="239">
        <v>0</v>
      </c>
      <c r="BB114" s="239">
        <v>-2000</v>
      </c>
      <c r="BC114" s="242">
        <v>425000</v>
      </c>
      <c r="BD114" s="242">
        <v>108378000</v>
      </c>
      <c r="BE114" s="239">
        <v>93584000</v>
      </c>
      <c r="BF114" s="239">
        <v>0</v>
      </c>
      <c r="BG114" s="239">
        <v>517000</v>
      </c>
      <c r="BH114" s="239">
        <v>0</v>
      </c>
      <c r="BI114" s="239">
        <v>0</v>
      </c>
      <c r="BJ114" s="239">
        <v>16321000</v>
      </c>
      <c r="BK114" s="239">
        <v>0</v>
      </c>
      <c r="BL114" s="242">
        <v>110422000</v>
      </c>
      <c r="BM114" s="242">
        <v>-2044000</v>
      </c>
      <c r="BN114" s="239">
        <v>96000</v>
      </c>
      <c r="BO114" s="239">
        <v>0</v>
      </c>
      <c r="BP114" s="239">
        <v>-1948000</v>
      </c>
      <c r="BQ114" s="239">
        <v>0</v>
      </c>
      <c r="BR114" s="239">
        <v>0</v>
      </c>
      <c r="BS114" s="242">
        <v>-1948000</v>
      </c>
    </row>
    <row r="115" spans="1:71" s="202" customFormat="1" ht="30" customHeight="1" x14ac:dyDescent="0.3">
      <c r="A115" s="238">
        <v>14424</v>
      </c>
      <c r="B115" s="238" t="s">
        <v>186</v>
      </c>
      <c r="C115" s="238" t="s">
        <v>83</v>
      </c>
      <c r="D115" s="238">
        <v>14288</v>
      </c>
      <c r="E115" s="238">
        <v>2026</v>
      </c>
      <c r="F115" s="238" t="s">
        <v>276</v>
      </c>
      <c r="G115" s="238">
        <v>3</v>
      </c>
      <c r="H115" s="238">
        <v>9</v>
      </c>
      <c r="I115" s="238" t="s">
        <v>705</v>
      </c>
      <c r="J115" s="239">
        <v>0</v>
      </c>
      <c r="K115" s="239">
        <v>0</v>
      </c>
      <c r="L115" s="239">
        <v>0</v>
      </c>
      <c r="M115" s="239">
        <v>0</v>
      </c>
      <c r="N115" s="239">
        <v>0</v>
      </c>
      <c r="O115" s="239">
        <v>0</v>
      </c>
      <c r="P115" s="239">
        <v>0</v>
      </c>
      <c r="Q115" s="242">
        <v>0</v>
      </c>
      <c r="R115" s="239">
        <v>0</v>
      </c>
      <c r="S115" s="239">
        <v>0</v>
      </c>
      <c r="T115" s="239">
        <v>0</v>
      </c>
      <c r="U115" s="239">
        <v>0</v>
      </c>
      <c r="V115" s="239">
        <v>0</v>
      </c>
      <c r="W115" s="239">
        <v>0</v>
      </c>
      <c r="X115" s="242">
        <v>0</v>
      </c>
      <c r="Y115" s="239">
        <v>0</v>
      </c>
      <c r="Z115" s="242">
        <v>0</v>
      </c>
      <c r="AA115" s="242">
        <v>0</v>
      </c>
      <c r="AB115" s="239">
        <v>0</v>
      </c>
      <c r="AC115" s="239">
        <v>0</v>
      </c>
      <c r="AD115" s="239">
        <v>0</v>
      </c>
      <c r="AE115" s="239">
        <v>0</v>
      </c>
      <c r="AF115" s="242">
        <v>0</v>
      </c>
      <c r="AG115" s="239">
        <v>0</v>
      </c>
      <c r="AH115" s="239">
        <v>0</v>
      </c>
      <c r="AI115" s="239">
        <v>0</v>
      </c>
      <c r="AJ115" s="242">
        <v>0</v>
      </c>
      <c r="AK115" s="242">
        <v>0</v>
      </c>
      <c r="AL115" s="239">
        <v>0</v>
      </c>
      <c r="AM115" s="239">
        <v>0</v>
      </c>
      <c r="AN115" s="239">
        <v>0</v>
      </c>
      <c r="AO115" s="242">
        <v>0</v>
      </c>
      <c r="AP115" s="242">
        <v>0</v>
      </c>
      <c r="AQ115" s="239">
        <v>3051840</v>
      </c>
      <c r="AR115" s="239">
        <v>0</v>
      </c>
      <c r="AS115" s="239">
        <v>668374</v>
      </c>
      <c r="AT115" s="239">
        <v>0</v>
      </c>
      <c r="AU115" s="239">
        <v>0</v>
      </c>
      <c r="AV115" s="239">
        <v>0</v>
      </c>
      <c r="AW115" s="242">
        <v>3720214</v>
      </c>
      <c r="AX115" s="239">
        <v>0</v>
      </c>
      <c r="AY115" s="239">
        <v>0</v>
      </c>
      <c r="AZ115" s="239"/>
      <c r="BA115" s="239">
        <v>0</v>
      </c>
      <c r="BB115" s="239">
        <v>0</v>
      </c>
      <c r="BC115" s="242">
        <v>0</v>
      </c>
      <c r="BD115" s="242">
        <v>3720214</v>
      </c>
      <c r="BE115" s="239">
        <v>2224190</v>
      </c>
      <c r="BF115" s="239">
        <v>3641379</v>
      </c>
      <c r="BG115" s="239">
        <v>19652</v>
      </c>
      <c r="BH115" s="239">
        <v>390</v>
      </c>
      <c r="BI115" s="239">
        <v>0</v>
      </c>
      <c r="BJ115" s="239">
        <v>0</v>
      </c>
      <c r="BK115" s="239">
        <v>2933473</v>
      </c>
      <c r="BL115" s="242">
        <v>8819084</v>
      </c>
      <c r="BM115" s="242">
        <v>-5098870</v>
      </c>
      <c r="BN115" s="239">
        <v>0</v>
      </c>
      <c r="BO115" s="239">
        <v>0</v>
      </c>
      <c r="BP115" s="239">
        <v>-5098870</v>
      </c>
      <c r="BQ115" s="239">
        <v>0</v>
      </c>
      <c r="BR115" s="239">
        <v>0</v>
      </c>
      <c r="BS115" s="242">
        <v>-5098870</v>
      </c>
    </row>
    <row r="116" spans="1:71" s="202" customFormat="1" ht="30" customHeight="1" x14ac:dyDescent="0.3">
      <c r="A116" s="238">
        <v>14426</v>
      </c>
      <c r="B116" s="238" t="s">
        <v>116</v>
      </c>
      <c r="C116" s="238" t="s">
        <v>83</v>
      </c>
      <c r="D116" s="238">
        <v>14286</v>
      </c>
      <c r="E116" s="238">
        <v>2026</v>
      </c>
      <c r="F116" s="238" t="s">
        <v>275</v>
      </c>
      <c r="G116" s="238">
        <v>2</v>
      </c>
      <c r="H116" s="238">
        <v>6</v>
      </c>
      <c r="I116" s="238" t="s">
        <v>703</v>
      </c>
      <c r="J116" s="239">
        <v>0</v>
      </c>
      <c r="K116" s="239">
        <v>0</v>
      </c>
      <c r="L116" s="239">
        <v>0</v>
      </c>
      <c r="M116" s="239">
        <v>0</v>
      </c>
      <c r="N116" s="239">
        <v>0</v>
      </c>
      <c r="O116" s="239">
        <v>0</v>
      </c>
      <c r="P116" s="239">
        <v>0</v>
      </c>
      <c r="Q116" s="242">
        <v>0</v>
      </c>
      <c r="R116" s="239">
        <v>0</v>
      </c>
      <c r="S116" s="239">
        <v>0</v>
      </c>
      <c r="T116" s="239">
        <v>0</v>
      </c>
      <c r="U116" s="239">
        <v>0</v>
      </c>
      <c r="V116" s="239">
        <v>0</v>
      </c>
      <c r="W116" s="239">
        <v>0</v>
      </c>
      <c r="X116" s="242">
        <v>0</v>
      </c>
      <c r="Y116" s="239">
        <v>0</v>
      </c>
      <c r="Z116" s="242">
        <v>0</v>
      </c>
      <c r="AA116" s="242">
        <v>0</v>
      </c>
      <c r="AB116" s="239">
        <v>0</v>
      </c>
      <c r="AC116" s="239">
        <v>0</v>
      </c>
      <c r="AD116" s="239">
        <v>0</v>
      </c>
      <c r="AE116" s="239">
        <v>0</v>
      </c>
      <c r="AF116" s="242">
        <v>0</v>
      </c>
      <c r="AG116" s="239">
        <v>0</v>
      </c>
      <c r="AH116" s="239">
        <v>0</v>
      </c>
      <c r="AI116" s="239">
        <v>0</v>
      </c>
      <c r="AJ116" s="242">
        <v>0</v>
      </c>
      <c r="AK116" s="242">
        <v>0</v>
      </c>
      <c r="AL116" s="239">
        <v>0</v>
      </c>
      <c r="AM116" s="239">
        <v>0</v>
      </c>
      <c r="AN116" s="239">
        <v>0</v>
      </c>
      <c r="AO116" s="242">
        <v>0</v>
      </c>
      <c r="AP116" s="242">
        <v>0</v>
      </c>
      <c r="AQ116" s="239">
        <v>488165276</v>
      </c>
      <c r="AR116" s="239">
        <v>0</v>
      </c>
      <c r="AS116" s="239">
        <v>94341949</v>
      </c>
      <c r="AT116" s="239">
        <v>0</v>
      </c>
      <c r="AU116" s="239">
        <v>0</v>
      </c>
      <c r="AV116" s="239">
        <v>14526205</v>
      </c>
      <c r="AW116" s="242">
        <v>597033430</v>
      </c>
      <c r="AX116" s="239">
        <v>12090253</v>
      </c>
      <c r="AY116" s="239">
        <v>0</v>
      </c>
      <c r="AZ116" s="239">
        <v>0</v>
      </c>
      <c r="BA116" s="239">
        <v>-10986241</v>
      </c>
      <c r="BB116" s="239">
        <v>10294633</v>
      </c>
      <c r="BC116" s="242">
        <v>11398645</v>
      </c>
      <c r="BD116" s="242">
        <v>608432075</v>
      </c>
      <c r="BE116" s="239">
        <v>487903306</v>
      </c>
      <c r="BF116" s="239">
        <v>0</v>
      </c>
      <c r="BG116" s="239">
        <v>636428</v>
      </c>
      <c r="BH116" s="239">
        <v>0</v>
      </c>
      <c r="BI116" s="239">
        <v>0</v>
      </c>
      <c r="BJ116" s="239">
        <v>99150914</v>
      </c>
      <c r="BK116" s="239">
        <v>0</v>
      </c>
      <c r="BL116" s="242">
        <v>587690648</v>
      </c>
      <c r="BM116" s="242">
        <v>20741427</v>
      </c>
      <c r="BN116" s="239">
        <v>0</v>
      </c>
      <c r="BO116" s="239">
        <v>0</v>
      </c>
      <c r="BP116" s="239">
        <v>20741427</v>
      </c>
      <c r="BQ116" s="239">
        <v>2199084</v>
      </c>
      <c r="BR116" s="239">
        <v>0</v>
      </c>
      <c r="BS116" s="242">
        <v>22940511</v>
      </c>
    </row>
    <row r="117" spans="1:71" s="164" customFormat="1" ht="30" customHeight="1" x14ac:dyDescent="0.3">
      <c r="A117" s="233">
        <v>14427</v>
      </c>
      <c r="B117" s="233" t="s">
        <v>617</v>
      </c>
      <c r="C117" s="233" t="s">
        <v>83</v>
      </c>
      <c r="D117" s="233">
        <v>3888</v>
      </c>
      <c r="E117" s="233">
        <v>2026</v>
      </c>
      <c r="F117" s="233" t="s">
        <v>630</v>
      </c>
      <c r="G117" s="233">
        <v>1</v>
      </c>
      <c r="H117" s="233">
        <v>3</v>
      </c>
      <c r="I117" s="233" t="s">
        <v>704</v>
      </c>
      <c r="J117" s="234">
        <v>0</v>
      </c>
      <c r="K117" s="234">
        <v>0</v>
      </c>
      <c r="L117" s="234">
        <v>0</v>
      </c>
      <c r="M117" s="234">
        <v>0</v>
      </c>
      <c r="N117" s="234">
        <v>0</v>
      </c>
      <c r="O117" s="234">
        <v>0</v>
      </c>
      <c r="P117" s="234">
        <v>0</v>
      </c>
      <c r="Q117" s="242">
        <v>0</v>
      </c>
      <c r="R117" s="234">
        <v>0</v>
      </c>
      <c r="S117" s="234">
        <v>0</v>
      </c>
      <c r="T117" s="234">
        <v>0</v>
      </c>
      <c r="U117" s="234">
        <v>0</v>
      </c>
      <c r="V117" s="234">
        <v>0</v>
      </c>
      <c r="W117" s="234">
        <v>0</v>
      </c>
      <c r="X117" s="242">
        <v>0</v>
      </c>
      <c r="Y117" s="234">
        <v>0</v>
      </c>
      <c r="Z117" s="242">
        <v>0</v>
      </c>
      <c r="AA117" s="242">
        <v>0</v>
      </c>
      <c r="AB117" s="234">
        <v>0</v>
      </c>
      <c r="AC117" s="234">
        <v>0</v>
      </c>
      <c r="AD117" s="234">
        <v>0</v>
      </c>
      <c r="AE117" s="234">
        <v>0</v>
      </c>
      <c r="AF117" s="242">
        <v>0</v>
      </c>
      <c r="AG117" s="234">
        <v>0</v>
      </c>
      <c r="AH117" s="234">
        <v>0</v>
      </c>
      <c r="AI117" s="234">
        <v>0</v>
      </c>
      <c r="AJ117" s="242">
        <v>0</v>
      </c>
      <c r="AK117" s="242">
        <v>0</v>
      </c>
      <c r="AL117" s="234">
        <v>0</v>
      </c>
      <c r="AM117" s="234">
        <v>0</v>
      </c>
      <c r="AN117" s="234">
        <v>0</v>
      </c>
      <c r="AO117" s="242">
        <v>0</v>
      </c>
      <c r="AP117" s="242">
        <v>0</v>
      </c>
      <c r="AQ117" s="234">
        <v>4827115</v>
      </c>
      <c r="AR117" s="234">
        <v>0</v>
      </c>
      <c r="AS117" s="234">
        <v>957380</v>
      </c>
      <c r="AT117" s="234">
        <v>0</v>
      </c>
      <c r="AU117" s="234">
        <v>0</v>
      </c>
      <c r="AV117" s="234">
        <v>0</v>
      </c>
      <c r="AW117" s="242">
        <v>5784495</v>
      </c>
      <c r="AX117" s="234">
        <v>0</v>
      </c>
      <c r="AY117" s="234">
        <v>0</v>
      </c>
      <c r="AZ117" s="234">
        <v>0</v>
      </c>
      <c r="BA117" s="234">
        <v>0</v>
      </c>
      <c r="BB117" s="234">
        <v>0</v>
      </c>
      <c r="BC117" s="242">
        <v>0</v>
      </c>
      <c r="BD117" s="242">
        <v>5784495</v>
      </c>
      <c r="BE117" s="234">
        <v>6411510</v>
      </c>
      <c r="BF117" s="234">
        <v>0</v>
      </c>
      <c r="BG117" s="234">
        <v>111768</v>
      </c>
      <c r="BH117" s="234">
        <v>17240</v>
      </c>
      <c r="BI117" s="234">
        <v>0</v>
      </c>
      <c r="BJ117" s="234">
        <v>2276662</v>
      </c>
      <c r="BK117" s="234">
        <v>0</v>
      </c>
      <c r="BL117" s="242">
        <v>8817180</v>
      </c>
      <c r="BM117" s="242">
        <v>-3032685</v>
      </c>
      <c r="BN117" s="234">
        <v>0</v>
      </c>
      <c r="BO117" s="234">
        <v>0</v>
      </c>
      <c r="BP117" s="234">
        <v>-3032685</v>
      </c>
      <c r="BQ117" s="234">
        <v>0</v>
      </c>
      <c r="BR117" s="234">
        <v>0</v>
      </c>
      <c r="BS117" s="242">
        <v>-3032685</v>
      </c>
    </row>
    <row r="118" spans="1:71" s="202" customFormat="1" ht="30" customHeight="1" x14ac:dyDescent="0.3">
      <c r="A118" s="233">
        <v>14428</v>
      </c>
      <c r="B118" s="233" t="s">
        <v>206</v>
      </c>
      <c r="C118" s="233" t="s">
        <v>83</v>
      </c>
      <c r="D118" s="233">
        <v>12767</v>
      </c>
      <c r="E118" s="233">
        <v>2026</v>
      </c>
      <c r="F118" s="233" t="s">
        <v>275</v>
      </c>
      <c r="G118" s="233">
        <v>2</v>
      </c>
      <c r="H118" s="233">
        <v>6</v>
      </c>
      <c r="I118" s="233" t="s">
        <v>703</v>
      </c>
      <c r="J118" s="234">
        <v>0</v>
      </c>
      <c r="K118" s="234">
        <v>0</v>
      </c>
      <c r="L118" s="234">
        <v>0</v>
      </c>
      <c r="M118" s="234">
        <v>0</v>
      </c>
      <c r="N118" s="234">
        <v>0</v>
      </c>
      <c r="O118" s="234">
        <v>0</v>
      </c>
      <c r="P118" s="234">
        <v>0</v>
      </c>
      <c r="Q118" s="242">
        <v>0</v>
      </c>
      <c r="R118" s="234">
        <v>0</v>
      </c>
      <c r="S118" s="234">
        <v>0</v>
      </c>
      <c r="T118" s="234">
        <v>0</v>
      </c>
      <c r="U118" s="234">
        <v>0</v>
      </c>
      <c r="V118" s="234">
        <v>0</v>
      </c>
      <c r="W118" s="234">
        <v>0</v>
      </c>
      <c r="X118" s="242">
        <v>0</v>
      </c>
      <c r="Y118" s="234">
        <v>0</v>
      </c>
      <c r="Z118" s="242">
        <v>0</v>
      </c>
      <c r="AA118" s="242">
        <v>0</v>
      </c>
      <c r="AB118" s="234">
        <v>0</v>
      </c>
      <c r="AC118" s="234">
        <v>0</v>
      </c>
      <c r="AD118" s="234">
        <v>0</v>
      </c>
      <c r="AE118" s="234">
        <v>0</v>
      </c>
      <c r="AF118" s="242">
        <v>0</v>
      </c>
      <c r="AG118" s="234">
        <v>0</v>
      </c>
      <c r="AH118" s="234">
        <v>0</v>
      </c>
      <c r="AI118" s="234">
        <v>0</v>
      </c>
      <c r="AJ118" s="242">
        <v>0</v>
      </c>
      <c r="AK118" s="242">
        <v>0</v>
      </c>
      <c r="AL118" s="234">
        <v>0</v>
      </c>
      <c r="AM118" s="234">
        <v>0</v>
      </c>
      <c r="AN118" s="234">
        <v>0</v>
      </c>
      <c r="AO118" s="242">
        <v>0</v>
      </c>
      <c r="AP118" s="242">
        <v>0</v>
      </c>
      <c r="AQ118" s="234">
        <v>6273530</v>
      </c>
      <c r="AR118" s="234">
        <v>1117648</v>
      </c>
      <c r="AS118" s="234">
        <v>1400368</v>
      </c>
      <c r="AT118" s="234">
        <v>0</v>
      </c>
      <c r="AU118" s="234">
        <v>0</v>
      </c>
      <c r="AV118" s="234">
        <v>0</v>
      </c>
      <c r="AW118" s="242">
        <v>8791546</v>
      </c>
      <c r="AX118" s="234">
        <v>0</v>
      </c>
      <c r="AY118" s="234">
        <v>0</v>
      </c>
      <c r="AZ118" s="234"/>
      <c r="BA118" s="234">
        <v>0</v>
      </c>
      <c r="BB118" s="234">
        <v>0</v>
      </c>
      <c r="BC118" s="242">
        <v>0</v>
      </c>
      <c r="BD118" s="242">
        <v>8791546</v>
      </c>
      <c r="BE118" s="234">
        <v>8664537</v>
      </c>
      <c r="BF118" s="234">
        <v>0</v>
      </c>
      <c r="BG118" s="234">
        <v>4998</v>
      </c>
      <c r="BH118" s="234">
        <v>0</v>
      </c>
      <c r="BI118" s="234">
        <v>0</v>
      </c>
      <c r="BJ118" s="234">
        <v>1234982</v>
      </c>
      <c r="BK118" s="234">
        <v>0</v>
      </c>
      <c r="BL118" s="242">
        <v>9904517</v>
      </c>
      <c r="BM118" s="242">
        <v>-1112971</v>
      </c>
      <c r="BN118" s="234">
        <v>1265000</v>
      </c>
      <c r="BO118" s="234">
        <v>0</v>
      </c>
      <c r="BP118" s="234">
        <v>152029</v>
      </c>
      <c r="BQ118" s="234">
        <v>0</v>
      </c>
      <c r="BR118" s="234">
        <v>0</v>
      </c>
      <c r="BS118" s="242">
        <v>152029</v>
      </c>
    </row>
    <row r="119" spans="1:71" s="164" customFormat="1" ht="30" customHeight="1" x14ac:dyDescent="0.3">
      <c r="A119" s="233">
        <v>14495</v>
      </c>
      <c r="B119" s="233" t="s">
        <v>81</v>
      </c>
      <c r="C119" s="233" t="s">
        <v>77</v>
      </c>
      <c r="D119" s="233">
        <v>4066</v>
      </c>
      <c r="E119" s="233">
        <v>2026</v>
      </c>
      <c r="F119" s="233" t="s">
        <v>275</v>
      </c>
      <c r="G119" s="233">
        <v>2</v>
      </c>
      <c r="H119" s="233">
        <v>6</v>
      </c>
      <c r="I119" s="233" t="s">
        <v>703</v>
      </c>
      <c r="J119" s="234">
        <v>8338000</v>
      </c>
      <c r="K119" s="234">
        <v>4392000</v>
      </c>
      <c r="L119" s="234">
        <v>0</v>
      </c>
      <c r="M119" s="234">
        <v>11385000</v>
      </c>
      <c r="N119" s="234">
        <v>66000</v>
      </c>
      <c r="O119" s="234">
        <v>1889000</v>
      </c>
      <c r="P119" s="234">
        <v>1632000</v>
      </c>
      <c r="Q119" s="242">
        <v>27702000</v>
      </c>
      <c r="R119" s="234">
        <v>2832000</v>
      </c>
      <c r="S119" s="234">
        <v>0</v>
      </c>
      <c r="T119" s="234">
        <v>1991000</v>
      </c>
      <c r="U119" s="234">
        <v>0</v>
      </c>
      <c r="V119" s="234">
        <v>127241000</v>
      </c>
      <c r="W119" s="234">
        <v>77668000</v>
      </c>
      <c r="X119" s="242">
        <v>49573000</v>
      </c>
      <c r="Y119" s="234">
        <v>45000</v>
      </c>
      <c r="Z119" s="242">
        <v>54441000</v>
      </c>
      <c r="AA119" s="242">
        <v>82143000</v>
      </c>
      <c r="AB119" s="234">
        <v>1157000</v>
      </c>
      <c r="AC119" s="234">
        <v>2028000</v>
      </c>
      <c r="AD119" s="234">
        <v>21386000</v>
      </c>
      <c r="AE119" s="234">
        <v>10053000</v>
      </c>
      <c r="AF119" s="242">
        <v>34624000</v>
      </c>
      <c r="AG119" s="234">
        <v>19045000</v>
      </c>
      <c r="AH119" s="234">
        <v>0</v>
      </c>
      <c r="AI119" s="234">
        <v>796000</v>
      </c>
      <c r="AJ119" s="242">
        <v>19841000</v>
      </c>
      <c r="AK119" s="242">
        <v>54465000</v>
      </c>
      <c r="AL119" s="234">
        <v>23911000</v>
      </c>
      <c r="AM119" s="234">
        <v>2232000</v>
      </c>
      <c r="AN119" s="234">
        <v>1535000</v>
      </c>
      <c r="AO119" s="242">
        <v>27678000</v>
      </c>
      <c r="AP119" s="242">
        <v>82143000</v>
      </c>
      <c r="AQ119" s="234">
        <v>55905000</v>
      </c>
      <c r="AR119" s="234">
        <v>0</v>
      </c>
      <c r="AS119" s="234">
        <v>1563000</v>
      </c>
      <c r="AT119" s="234">
        <v>0</v>
      </c>
      <c r="AU119" s="234">
        <v>0</v>
      </c>
      <c r="AV119" s="234">
        <v>8000</v>
      </c>
      <c r="AW119" s="242">
        <v>57476000</v>
      </c>
      <c r="AX119" s="234">
        <v>78000</v>
      </c>
      <c r="AY119" s="234">
        <v>0</v>
      </c>
      <c r="AZ119" s="234">
        <v>-119000</v>
      </c>
      <c r="BA119" s="234">
        <v>119000</v>
      </c>
      <c r="BB119" s="234">
        <v>-8000</v>
      </c>
      <c r="BC119" s="242">
        <v>70000</v>
      </c>
      <c r="BD119" s="242">
        <v>57546000</v>
      </c>
      <c r="BE119" s="234">
        <v>23348000</v>
      </c>
      <c r="BF119" s="234">
        <v>0</v>
      </c>
      <c r="BG119" s="234">
        <v>2222000</v>
      </c>
      <c r="BH119" s="234">
        <v>506000</v>
      </c>
      <c r="BI119" s="234">
        <v>3911000</v>
      </c>
      <c r="BJ119" s="234">
        <v>23074000</v>
      </c>
      <c r="BK119" s="234">
        <v>97000</v>
      </c>
      <c r="BL119" s="242">
        <v>53158000</v>
      </c>
      <c r="BM119" s="242">
        <v>4388000</v>
      </c>
      <c r="BN119" s="234">
        <v>0</v>
      </c>
      <c r="BO119" s="234">
        <v>76000</v>
      </c>
      <c r="BP119" s="234">
        <v>4464000</v>
      </c>
      <c r="BQ119" s="234">
        <v>0</v>
      </c>
      <c r="BR119" s="234">
        <v>0</v>
      </c>
      <c r="BS119" s="242">
        <v>4464000</v>
      </c>
    </row>
    <row r="120" spans="1:71" s="202" customFormat="1" ht="30" customHeight="1" x14ac:dyDescent="0.3">
      <c r="A120" s="233">
        <v>14496</v>
      </c>
      <c r="B120" s="233" t="s">
        <v>199</v>
      </c>
      <c r="C120" s="233" t="s">
        <v>77</v>
      </c>
      <c r="D120" s="233">
        <v>6755</v>
      </c>
      <c r="E120" s="233">
        <v>2026</v>
      </c>
      <c r="F120" s="233" t="s">
        <v>275</v>
      </c>
      <c r="G120" s="233">
        <v>2</v>
      </c>
      <c r="H120" s="233">
        <v>6</v>
      </c>
      <c r="I120" s="233" t="s">
        <v>703</v>
      </c>
      <c r="J120" s="234">
        <v>2652000</v>
      </c>
      <c r="K120" s="234">
        <v>530000</v>
      </c>
      <c r="L120" s="234">
        <v>0</v>
      </c>
      <c r="M120" s="234">
        <v>51753000</v>
      </c>
      <c r="N120" s="234">
        <v>168381000</v>
      </c>
      <c r="O120" s="234">
        <v>9059000</v>
      </c>
      <c r="P120" s="234">
        <v>6349000</v>
      </c>
      <c r="Q120" s="242">
        <v>238724000</v>
      </c>
      <c r="R120" s="234">
        <v>28350000</v>
      </c>
      <c r="S120" s="234">
        <v>0</v>
      </c>
      <c r="T120" s="234">
        <v>0</v>
      </c>
      <c r="U120" s="234">
        <v>0</v>
      </c>
      <c r="V120" s="234">
        <v>291850000</v>
      </c>
      <c r="W120" s="234">
        <v>187549000</v>
      </c>
      <c r="X120" s="242">
        <v>104301000</v>
      </c>
      <c r="Y120" s="234">
        <v>97006000</v>
      </c>
      <c r="Z120" s="242">
        <v>229657000</v>
      </c>
      <c r="AA120" s="242">
        <v>468381000</v>
      </c>
      <c r="AB120" s="234">
        <v>0</v>
      </c>
      <c r="AC120" s="234">
        <v>1229000</v>
      </c>
      <c r="AD120" s="234">
        <v>204402000</v>
      </c>
      <c r="AE120" s="234">
        <v>21278000</v>
      </c>
      <c r="AF120" s="242">
        <v>226909000</v>
      </c>
      <c r="AG120" s="234">
        <v>0</v>
      </c>
      <c r="AH120" s="234">
        <v>53124000</v>
      </c>
      <c r="AI120" s="234">
        <v>3656000</v>
      </c>
      <c r="AJ120" s="242">
        <v>56780000</v>
      </c>
      <c r="AK120" s="242">
        <v>283689000</v>
      </c>
      <c r="AL120" s="234">
        <v>148933000</v>
      </c>
      <c r="AM120" s="234">
        <v>9662000</v>
      </c>
      <c r="AN120" s="234">
        <v>26097000</v>
      </c>
      <c r="AO120" s="242">
        <v>184692000</v>
      </c>
      <c r="AP120" s="242">
        <v>468381000</v>
      </c>
      <c r="AQ120" s="234">
        <v>151424000</v>
      </c>
      <c r="AR120" s="234">
        <v>0</v>
      </c>
      <c r="AS120" s="234">
        <v>13799000</v>
      </c>
      <c r="AT120" s="234">
        <v>0</v>
      </c>
      <c r="AU120" s="234">
        <v>0</v>
      </c>
      <c r="AV120" s="234">
        <v>250000</v>
      </c>
      <c r="AW120" s="242">
        <v>165473000</v>
      </c>
      <c r="AX120" s="234">
        <v>286000</v>
      </c>
      <c r="AY120" s="234">
        <v>169000</v>
      </c>
      <c r="AZ120" s="234"/>
      <c r="BA120" s="234">
        <v>1457000</v>
      </c>
      <c r="BB120" s="234">
        <v>0</v>
      </c>
      <c r="BC120" s="242">
        <v>1912000</v>
      </c>
      <c r="BD120" s="242">
        <v>167385000</v>
      </c>
      <c r="BE120" s="234">
        <v>55087000</v>
      </c>
      <c r="BF120" s="234">
        <v>0</v>
      </c>
      <c r="BG120" s="234">
        <v>6060000</v>
      </c>
      <c r="BH120" s="234">
        <v>1842000</v>
      </c>
      <c r="BI120" s="234">
        <v>2384000</v>
      </c>
      <c r="BJ120" s="234">
        <v>89620000</v>
      </c>
      <c r="BK120" s="234">
        <v>0</v>
      </c>
      <c r="BL120" s="242">
        <v>154993000</v>
      </c>
      <c r="BM120" s="242">
        <v>12392000</v>
      </c>
      <c r="BN120" s="234">
        <v>-1230000</v>
      </c>
      <c r="BO120" s="234">
        <v>265000</v>
      </c>
      <c r="BP120" s="234">
        <v>11427000</v>
      </c>
      <c r="BQ120" s="234">
        <v>0</v>
      </c>
      <c r="BR120" s="234">
        <v>0</v>
      </c>
      <c r="BS120" s="242">
        <v>11427000</v>
      </c>
    </row>
    <row r="121" spans="1:71" s="164" customFormat="1" ht="30" customHeight="1" x14ac:dyDescent="0.3">
      <c r="A121" s="233">
        <v>16532</v>
      </c>
      <c r="B121" s="233" t="s">
        <v>188</v>
      </c>
      <c r="C121" s="233" t="s">
        <v>83</v>
      </c>
      <c r="D121" s="233">
        <v>14288</v>
      </c>
      <c r="E121" s="233">
        <v>2026</v>
      </c>
      <c r="F121" s="233" t="s">
        <v>276</v>
      </c>
      <c r="G121" s="233">
        <v>3</v>
      </c>
      <c r="H121" s="233">
        <v>9</v>
      </c>
      <c r="I121" s="233" t="s">
        <v>705</v>
      </c>
      <c r="J121" s="234">
        <v>0</v>
      </c>
      <c r="K121" s="234">
        <v>0</v>
      </c>
      <c r="L121" s="234">
        <v>0</v>
      </c>
      <c r="M121" s="234">
        <v>0</v>
      </c>
      <c r="N121" s="234">
        <v>0</v>
      </c>
      <c r="O121" s="234">
        <v>0</v>
      </c>
      <c r="P121" s="234">
        <v>0</v>
      </c>
      <c r="Q121" s="242">
        <v>0</v>
      </c>
      <c r="R121" s="234">
        <v>0</v>
      </c>
      <c r="S121" s="234">
        <v>0</v>
      </c>
      <c r="T121" s="234">
        <v>0</v>
      </c>
      <c r="U121" s="234">
        <v>0</v>
      </c>
      <c r="V121" s="234">
        <v>0</v>
      </c>
      <c r="W121" s="234">
        <v>0</v>
      </c>
      <c r="X121" s="242">
        <v>0</v>
      </c>
      <c r="Y121" s="234">
        <v>0</v>
      </c>
      <c r="Z121" s="242">
        <v>0</v>
      </c>
      <c r="AA121" s="242">
        <v>0</v>
      </c>
      <c r="AB121" s="234">
        <v>0</v>
      </c>
      <c r="AC121" s="234">
        <v>0</v>
      </c>
      <c r="AD121" s="234">
        <v>0</v>
      </c>
      <c r="AE121" s="234">
        <v>0</v>
      </c>
      <c r="AF121" s="242">
        <v>0</v>
      </c>
      <c r="AG121" s="234">
        <v>0</v>
      </c>
      <c r="AH121" s="234">
        <v>0</v>
      </c>
      <c r="AI121" s="234">
        <v>0</v>
      </c>
      <c r="AJ121" s="242">
        <v>0</v>
      </c>
      <c r="AK121" s="242">
        <v>0</v>
      </c>
      <c r="AL121" s="234">
        <v>0</v>
      </c>
      <c r="AM121" s="234">
        <v>0</v>
      </c>
      <c r="AN121" s="234">
        <v>0</v>
      </c>
      <c r="AO121" s="242">
        <v>0</v>
      </c>
      <c r="AP121" s="242">
        <v>0</v>
      </c>
      <c r="AQ121" s="234">
        <v>5847013</v>
      </c>
      <c r="AR121" s="234">
        <v>0</v>
      </c>
      <c r="AS121" s="234">
        <v>101701</v>
      </c>
      <c r="AT121" s="234">
        <v>0</v>
      </c>
      <c r="AU121" s="234">
        <v>0</v>
      </c>
      <c r="AV121" s="234">
        <v>0</v>
      </c>
      <c r="AW121" s="242">
        <v>5948714</v>
      </c>
      <c r="AX121" s="234">
        <v>0</v>
      </c>
      <c r="AY121" s="234">
        <v>0</v>
      </c>
      <c r="AZ121" s="234"/>
      <c r="BA121" s="234">
        <v>0</v>
      </c>
      <c r="BB121" s="234">
        <v>0</v>
      </c>
      <c r="BC121" s="242">
        <v>0</v>
      </c>
      <c r="BD121" s="242">
        <v>5948714</v>
      </c>
      <c r="BE121" s="234">
        <v>0</v>
      </c>
      <c r="BF121" s="234">
        <v>6767901</v>
      </c>
      <c r="BG121" s="234">
        <v>0</v>
      </c>
      <c r="BH121" s="234">
        <v>408</v>
      </c>
      <c r="BI121" s="234">
        <v>0</v>
      </c>
      <c r="BJ121" s="234">
        <v>5423256</v>
      </c>
      <c r="BK121" s="234">
        <v>0</v>
      </c>
      <c r="BL121" s="242">
        <v>12191565</v>
      </c>
      <c r="BM121" s="242">
        <v>-6242851</v>
      </c>
      <c r="BN121" s="234">
        <v>0</v>
      </c>
      <c r="BO121" s="234">
        <v>0</v>
      </c>
      <c r="BP121" s="234">
        <v>-6242851</v>
      </c>
      <c r="BQ121" s="234">
        <v>0</v>
      </c>
      <c r="BR121" s="234">
        <v>0</v>
      </c>
      <c r="BS121" s="242">
        <v>-6242851</v>
      </c>
    </row>
    <row r="122" spans="1:71" s="202" customFormat="1" ht="30" customHeight="1" x14ac:dyDescent="0.3">
      <c r="A122" s="238">
        <v>16533</v>
      </c>
      <c r="B122" s="238" t="s">
        <v>189</v>
      </c>
      <c r="C122" s="238" t="s">
        <v>83</v>
      </c>
      <c r="D122" s="238">
        <v>14288</v>
      </c>
      <c r="E122" s="238">
        <v>2026</v>
      </c>
      <c r="F122" s="238" t="s">
        <v>276</v>
      </c>
      <c r="G122" s="238">
        <v>3</v>
      </c>
      <c r="H122" s="238">
        <v>9</v>
      </c>
      <c r="I122" s="238" t="s">
        <v>705</v>
      </c>
      <c r="J122" s="239">
        <v>0</v>
      </c>
      <c r="K122" s="239">
        <v>0</v>
      </c>
      <c r="L122" s="239">
        <v>0</v>
      </c>
      <c r="M122" s="239">
        <v>0</v>
      </c>
      <c r="N122" s="239">
        <v>0</v>
      </c>
      <c r="O122" s="239">
        <v>0</v>
      </c>
      <c r="P122" s="239">
        <v>0</v>
      </c>
      <c r="Q122" s="242">
        <v>0</v>
      </c>
      <c r="R122" s="239">
        <v>0</v>
      </c>
      <c r="S122" s="239">
        <v>0</v>
      </c>
      <c r="T122" s="239">
        <v>0</v>
      </c>
      <c r="U122" s="239">
        <v>0</v>
      </c>
      <c r="V122" s="239">
        <v>0</v>
      </c>
      <c r="W122" s="239">
        <v>0</v>
      </c>
      <c r="X122" s="242">
        <v>0</v>
      </c>
      <c r="Y122" s="239">
        <v>0</v>
      </c>
      <c r="Z122" s="242">
        <v>0</v>
      </c>
      <c r="AA122" s="242">
        <v>0</v>
      </c>
      <c r="AB122" s="239">
        <v>0</v>
      </c>
      <c r="AC122" s="239">
        <v>0</v>
      </c>
      <c r="AD122" s="239">
        <v>0</v>
      </c>
      <c r="AE122" s="239">
        <v>0</v>
      </c>
      <c r="AF122" s="242">
        <v>0</v>
      </c>
      <c r="AG122" s="239">
        <v>0</v>
      </c>
      <c r="AH122" s="239">
        <v>0</v>
      </c>
      <c r="AI122" s="239">
        <v>0</v>
      </c>
      <c r="AJ122" s="242">
        <v>0</v>
      </c>
      <c r="AK122" s="242">
        <v>0</v>
      </c>
      <c r="AL122" s="239">
        <v>0</v>
      </c>
      <c r="AM122" s="239">
        <v>0</v>
      </c>
      <c r="AN122" s="239">
        <v>0</v>
      </c>
      <c r="AO122" s="242">
        <v>0</v>
      </c>
      <c r="AP122" s="242">
        <v>0</v>
      </c>
      <c r="AQ122" s="239">
        <v>40900106</v>
      </c>
      <c r="AR122" s="239">
        <v>7550054</v>
      </c>
      <c r="AS122" s="239">
        <v>3597817</v>
      </c>
      <c r="AT122" s="239">
        <v>0</v>
      </c>
      <c r="AU122" s="239">
        <v>0</v>
      </c>
      <c r="AV122" s="239">
        <v>0</v>
      </c>
      <c r="AW122" s="242">
        <v>52047977</v>
      </c>
      <c r="AX122" s="239">
        <v>0</v>
      </c>
      <c r="AY122" s="239">
        <v>0</v>
      </c>
      <c r="AZ122" s="239"/>
      <c r="BA122" s="239">
        <v>0</v>
      </c>
      <c r="BB122" s="239">
        <v>0</v>
      </c>
      <c r="BC122" s="242">
        <v>0</v>
      </c>
      <c r="BD122" s="242">
        <v>52047977</v>
      </c>
      <c r="BE122" s="239">
        <v>58955404</v>
      </c>
      <c r="BF122" s="239">
        <v>1901342</v>
      </c>
      <c r="BG122" s="239">
        <v>421310</v>
      </c>
      <c r="BH122" s="239">
        <v>8111</v>
      </c>
      <c r="BI122" s="239">
        <v>0</v>
      </c>
      <c r="BJ122" s="239">
        <v>14370663</v>
      </c>
      <c r="BK122" s="239">
        <v>0</v>
      </c>
      <c r="BL122" s="242">
        <v>75656830</v>
      </c>
      <c r="BM122" s="242">
        <v>-23608853</v>
      </c>
      <c r="BN122" s="239">
        <v>0</v>
      </c>
      <c r="BO122" s="239">
        <v>0</v>
      </c>
      <c r="BP122" s="239">
        <v>-23608853</v>
      </c>
      <c r="BQ122" s="239">
        <v>0</v>
      </c>
      <c r="BR122" s="239">
        <v>0</v>
      </c>
      <c r="BS122" s="242">
        <v>-23608853</v>
      </c>
    </row>
    <row r="123" spans="1:71" s="164" customFormat="1" ht="30" customHeight="1" x14ac:dyDescent="0.3">
      <c r="A123" s="238">
        <v>16579</v>
      </c>
      <c r="B123" s="238" t="s">
        <v>155</v>
      </c>
      <c r="C123" s="238" t="s">
        <v>83</v>
      </c>
      <c r="D123" s="238">
        <v>3791</v>
      </c>
      <c r="E123" s="238">
        <v>2026</v>
      </c>
      <c r="F123" s="238" t="s">
        <v>275</v>
      </c>
      <c r="G123" s="238">
        <v>2</v>
      </c>
      <c r="H123" s="238">
        <v>6</v>
      </c>
      <c r="I123" s="238" t="s">
        <v>703</v>
      </c>
      <c r="J123" s="239">
        <v>0</v>
      </c>
      <c r="K123" s="239">
        <v>0</v>
      </c>
      <c r="L123" s="239">
        <v>0</v>
      </c>
      <c r="M123" s="239">
        <v>0</v>
      </c>
      <c r="N123" s="239">
        <v>0</v>
      </c>
      <c r="O123" s="239">
        <v>0</v>
      </c>
      <c r="P123" s="239">
        <v>0</v>
      </c>
      <c r="Q123" s="242">
        <v>0</v>
      </c>
      <c r="R123" s="239">
        <v>0</v>
      </c>
      <c r="S123" s="239">
        <v>0</v>
      </c>
      <c r="T123" s="239">
        <v>0</v>
      </c>
      <c r="U123" s="239">
        <v>0</v>
      </c>
      <c r="V123" s="239">
        <v>0</v>
      </c>
      <c r="W123" s="239">
        <v>0</v>
      </c>
      <c r="X123" s="242">
        <v>0</v>
      </c>
      <c r="Y123" s="239">
        <v>0</v>
      </c>
      <c r="Z123" s="242">
        <v>0</v>
      </c>
      <c r="AA123" s="242">
        <v>0</v>
      </c>
      <c r="AB123" s="239">
        <v>0</v>
      </c>
      <c r="AC123" s="239">
        <v>0</v>
      </c>
      <c r="AD123" s="239">
        <v>0</v>
      </c>
      <c r="AE123" s="239">
        <v>0</v>
      </c>
      <c r="AF123" s="242">
        <v>0</v>
      </c>
      <c r="AG123" s="239">
        <v>0</v>
      </c>
      <c r="AH123" s="239">
        <v>0</v>
      </c>
      <c r="AI123" s="239">
        <v>0</v>
      </c>
      <c r="AJ123" s="242">
        <v>0</v>
      </c>
      <c r="AK123" s="242">
        <v>0</v>
      </c>
      <c r="AL123" s="239">
        <v>0</v>
      </c>
      <c r="AM123" s="239">
        <v>0</v>
      </c>
      <c r="AN123" s="239">
        <v>0</v>
      </c>
      <c r="AO123" s="242">
        <v>0</v>
      </c>
      <c r="AP123" s="242">
        <v>0</v>
      </c>
      <c r="AQ123" s="239">
        <v>688000</v>
      </c>
      <c r="AR123" s="239">
        <v>0</v>
      </c>
      <c r="AS123" s="239">
        <v>289000</v>
      </c>
      <c r="AT123" s="239">
        <v>0</v>
      </c>
      <c r="AU123" s="239">
        <v>0</v>
      </c>
      <c r="AV123" s="239">
        <v>0</v>
      </c>
      <c r="AW123" s="242">
        <v>977000</v>
      </c>
      <c r="AX123" s="239">
        <v>0</v>
      </c>
      <c r="AY123" s="239">
        <v>0</v>
      </c>
      <c r="AZ123" s="239">
        <v>0</v>
      </c>
      <c r="BA123" s="239">
        <v>0</v>
      </c>
      <c r="BB123" s="239">
        <v>0</v>
      </c>
      <c r="BC123" s="242">
        <v>0</v>
      </c>
      <c r="BD123" s="242">
        <v>977000</v>
      </c>
      <c r="BE123" s="239">
        <v>18000</v>
      </c>
      <c r="BF123" s="239">
        <v>0</v>
      </c>
      <c r="BG123" s="239">
        <v>0</v>
      </c>
      <c r="BH123" s="239">
        <v>0</v>
      </c>
      <c r="BI123" s="239">
        <v>0</v>
      </c>
      <c r="BJ123" s="239">
        <v>583000</v>
      </c>
      <c r="BK123" s="239">
        <v>0</v>
      </c>
      <c r="BL123" s="242">
        <v>601000</v>
      </c>
      <c r="BM123" s="242">
        <v>376000</v>
      </c>
      <c r="BN123" s="239">
        <v>-2920000</v>
      </c>
      <c r="BO123" s="239">
        <v>0</v>
      </c>
      <c r="BP123" s="239">
        <v>-2544000</v>
      </c>
      <c r="BQ123" s="239">
        <v>0</v>
      </c>
      <c r="BR123" s="239">
        <v>0</v>
      </c>
      <c r="BS123" s="242">
        <v>-2544000</v>
      </c>
    </row>
    <row r="124" spans="1:71" s="202" customFormat="1" ht="30" customHeight="1" x14ac:dyDescent="0.3">
      <c r="A124" s="238">
        <v>16665</v>
      </c>
      <c r="B124" s="238" t="s">
        <v>90</v>
      </c>
      <c r="C124" s="238" t="s">
        <v>75</v>
      </c>
      <c r="D124" s="238">
        <v>16665</v>
      </c>
      <c r="E124" s="238">
        <v>2026</v>
      </c>
      <c r="F124" s="238" t="s">
        <v>275</v>
      </c>
      <c r="G124" s="238">
        <v>2</v>
      </c>
      <c r="H124" s="238">
        <v>6</v>
      </c>
      <c r="I124" s="238" t="s">
        <v>703</v>
      </c>
      <c r="J124" s="239">
        <v>752806000</v>
      </c>
      <c r="K124" s="239">
        <v>2498572000</v>
      </c>
      <c r="L124" s="239">
        <v>0</v>
      </c>
      <c r="M124" s="239">
        <v>859623000</v>
      </c>
      <c r="N124" s="239">
        <v>0</v>
      </c>
      <c r="O124" s="239">
        <v>0</v>
      </c>
      <c r="P124" s="239">
        <v>525802000</v>
      </c>
      <c r="Q124" s="242">
        <v>4636803000</v>
      </c>
      <c r="R124" s="239">
        <v>1835994000</v>
      </c>
      <c r="S124" s="239">
        <v>121433000</v>
      </c>
      <c r="T124" s="239">
        <v>0</v>
      </c>
      <c r="U124" s="239">
        <v>0</v>
      </c>
      <c r="V124" s="239">
        <v>8359275000</v>
      </c>
      <c r="W124" s="239">
        <v>5547274000</v>
      </c>
      <c r="X124" s="242">
        <v>2812001000</v>
      </c>
      <c r="Y124" s="239">
        <v>1259421000</v>
      </c>
      <c r="Z124" s="242">
        <v>6028849000</v>
      </c>
      <c r="AA124" s="242">
        <v>10665652000</v>
      </c>
      <c r="AB124" s="239">
        <v>43145000</v>
      </c>
      <c r="AC124" s="239">
        <v>171860000</v>
      </c>
      <c r="AD124" s="239">
        <v>0</v>
      </c>
      <c r="AE124" s="239">
        <v>1356480000</v>
      </c>
      <c r="AF124" s="242">
        <v>1571485000</v>
      </c>
      <c r="AG124" s="239">
        <v>2787267000</v>
      </c>
      <c r="AH124" s="239">
        <v>0</v>
      </c>
      <c r="AI124" s="239">
        <v>1262781000</v>
      </c>
      <c r="AJ124" s="242">
        <v>4050048000</v>
      </c>
      <c r="AK124" s="242">
        <v>5621533000</v>
      </c>
      <c r="AL124" s="239">
        <v>3882693000</v>
      </c>
      <c r="AM124" s="239">
        <v>809450000</v>
      </c>
      <c r="AN124" s="239">
        <v>351976000</v>
      </c>
      <c r="AO124" s="242">
        <v>5044119000</v>
      </c>
      <c r="AP124" s="242">
        <v>10665652000</v>
      </c>
      <c r="AQ124" s="239">
        <v>3986420000</v>
      </c>
      <c r="AR124" s="239">
        <v>0</v>
      </c>
      <c r="AS124" s="239">
        <v>1152056000</v>
      </c>
      <c r="AT124" s="239">
        <v>0</v>
      </c>
      <c r="AU124" s="239">
        <v>0</v>
      </c>
      <c r="AV124" s="239">
        <v>0</v>
      </c>
      <c r="AW124" s="242">
        <v>5138476000</v>
      </c>
      <c r="AX124" s="239">
        <v>51238000</v>
      </c>
      <c r="AY124" s="239">
        <v>0</v>
      </c>
      <c r="AZ124" s="239">
        <v>61925000</v>
      </c>
      <c r="BA124" s="239">
        <v>-7563000</v>
      </c>
      <c r="BB124" s="239">
        <v>0</v>
      </c>
      <c r="BC124" s="242">
        <v>105600000</v>
      </c>
      <c r="BD124" s="242">
        <v>5244076000</v>
      </c>
      <c r="BE124" s="239">
        <v>2844558000</v>
      </c>
      <c r="BF124" s="239">
        <v>0</v>
      </c>
      <c r="BG124" s="239">
        <v>160810000</v>
      </c>
      <c r="BH124" s="239">
        <v>38172000</v>
      </c>
      <c r="BI124" s="239">
        <v>50061000</v>
      </c>
      <c r="BJ124" s="239">
        <v>1974190000</v>
      </c>
      <c r="BK124" s="239">
        <v>0</v>
      </c>
      <c r="BL124" s="242">
        <v>5067791000</v>
      </c>
      <c r="BM124" s="242">
        <v>176285000</v>
      </c>
      <c r="BN124" s="239">
        <v>0</v>
      </c>
      <c r="BO124" s="239">
        <v>7778000</v>
      </c>
      <c r="BP124" s="239">
        <v>184063000</v>
      </c>
      <c r="BQ124" s="239">
        <v>0</v>
      </c>
      <c r="BR124" s="239">
        <v>0</v>
      </c>
      <c r="BS124" s="242">
        <v>184063000</v>
      </c>
    </row>
    <row r="125" spans="1:71" s="164" customFormat="1" ht="30" customHeight="1" x14ac:dyDescent="0.3">
      <c r="A125" s="238">
        <v>21965</v>
      </c>
      <c r="B125" s="238" t="s">
        <v>207</v>
      </c>
      <c r="C125" s="238" t="s">
        <v>77</v>
      </c>
      <c r="D125" s="238">
        <v>3106</v>
      </c>
      <c r="E125" s="238">
        <v>2026</v>
      </c>
      <c r="F125" s="238" t="s">
        <v>275</v>
      </c>
      <c r="G125" s="238">
        <v>2</v>
      </c>
      <c r="H125" s="238">
        <v>6</v>
      </c>
      <c r="I125" s="238" t="s">
        <v>703</v>
      </c>
      <c r="J125" s="239">
        <v>143881</v>
      </c>
      <c r="K125" s="239">
        <v>0</v>
      </c>
      <c r="L125" s="239">
        <v>0</v>
      </c>
      <c r="M125" s="239">
        <v>2316631</v>
      </c>
      <c r="N125" s="239">
        <v>0</v>
      </c>
      <c r="O125" s="239">
        <v>0</v>
      </c>
      <c r="P125" s="239">
        <v>1111085</v>
      </c>
      <c r="Q125" s="242">
        <v>3571597</v>
      </c>
      <c r="R125" s="239">
        <v>257725</v>
      </c>
      <c r="S125" s="239">
        <v>0</v>
      </c>
      <c r="T125" s="239">
        <v>0</v>
      </c>
      <c r="U125" s="239">
        <v>0</v>
      </c>
      <c r="V125" s="239">
        <v>35357597</v>
      </c>
      <c r="W125" s="239">
        <v>16194260</v>
      </c>
      <c r="X125" s="242">
        <v>19163337</v>
      </c>
      <c r="Y125" s="239">
        <v>165927</v>
      </c>
      <c r="Z125" s="242">
        <v>19586989</v>
      </c>
      <c r="AA125" s="242">
        <v>23158586</v>
      </c>
      <c r="AB125" s="239">
        <v>0</v>
      </c>
      <c r="AC125" s="239">
        <v>1316081</v>
      </c>
      <c r="AD125" s="239">
        <v>20080467</v>
      </c>
      <c r="AE125" s="239">
        <v>3603233</v>
      </c>
      <c r="AF125" s="242">
        <v>24999781</v>
      </c>
      <c r="AG125" s="239">
        <v>0</v>
      </c>
      <c r="AH125" s="239">
        <v>0</v>
      </c>
      <c r="AI125" s="239">
        <v>960352</v>
      </c>
      <c r="AJ125" s="242">
        <v>960352</v>
      </c>
      <c r="AK125" s="242">
        <v>25960133</v>
      </c>
      <c r="AL125" s="239">
        <v>-2821547</v>
      </c>
      <c r="AM125" s="239">
        <v>20000</v>
      </c>
      <c r="AN125" s="239">
        <v>0</v>
      </c>
      <c r="AO125" s="242">
        <v>-2801547</v>
      </c>
      <c r="AP125" s="242">
        <v>23158586</v>
      </c>
      <c r="AQ125" s="239">
        <v>26149836</v>
      </c>
      <c r="AR125" s="239">
        <v>0</v>
      </c>
      <c r="AS125" s="239">
        <v>879606</v>
      </c>
      <c r="AT125" s="239">
        <v>0</v>
      </c>
      <c r="AU125" s="239">
        <v>0</v>
      </c>
      <c r="AV125" s="239">
        <v>0</v>
      </c>
      <c r="AW125" s="242">
        <v>27029442</v>
      </c>
      <c r="AX125" s="239">
        <v>0</v>
      </c>
      <c r="AY125" s="239">
        <v>0</v>
      </c>
      <c r="AZ125" s="239">
        <v>0</v>
      </c>
      <c r="BA125" s="239">
        <v>0</v>
      </c>
      <c r="BB125" s="239">
        <v>0</v>
      </c>
      <c r="BC125" s="242">
        <v>0</v>
      </c>
      <c r="BD125" s="242">
        <v>27029442</v>
      </c>
      <c r="BE125" s="239">
        <v>11431654</v>
      </c>
      <c r="BF125" s="239">
        <v>0</v>
      </c>
      <c r="BG125" s="239">
        <v>1562816</v>
      </c>
      <c r="BH125" s="239">
        <v>0</v>
      </c>
      <c r="BI125" s="239">
        <v>427638</v>
      </c>
      <c r="BJ125" s="239">
        <v>12332159</v>
      </c>
      <c r="BK125" s="239">
        <v>0</v>
      </c>
      <c r="BL125" s="242">
        <v>25754267</v>
      </c>
      <c r="BM125" s="242">
        <v>1275175</v>
      </c>
      <c r="BN125" s="239">
        <v>0</v>
      </c>
      <c r="BO125" s="239">
        <v>0</v>
      </c>
      <c r="BP125" s="239">
        <v>1275175</v>
      </c>
      <c r="BQ125" s="239">
        <v>0</v>
      </c>
      <c r="BR125" s="239">
        <v>0</v>
      </c>
      <c r="BS125" s="242">
        <v>1275175</v>
      </c>
    </row>
    <row r="126" spans="1:71" s="202" customFormat="1" ht="30" customHeight="1" x14ac:dyDescent="0.3">
      <c r="A126" s="238">
        <v>22350</v>
      </c>
      <c r="B126" s="238" t="s">
        <v>174</v>
      </c>
      <c r="C126" s="238" t="s">
        <v>75</v>
      </c>
      <c r="D126" s="238">
        <v>22350</v>
      </c>
      <c r="E126" s="238">
        <v>2026</v>
      </c>
      <c r="F126" s="238" t="s">
        <v>275</v>
      </c>
      <c r="G126" s="238">
        <v>2</v>
      </c>
      <c r="H126" s="238">
        <v>6</v>
      </c>
      <c r="I126" s="238" t="s">
        <v>703</v>
      </c>
      <c r="J126" s="239">
        <v>153889000</v>
      </c>
      <c r="K126" s="239">
        <v>0</v>
      </c>
      <c r="L126" s="239">
        <v>68921000</v>
      </c>
      <c r="M126" s="239">
        <v>491009000</v>
      </c>
      <c r="N126" s="239">
        <v>0</v>
      </c>
      <c r="O126" s="239">
        <v>0</v>
      </c>
      <c r="P126" s="239">
        <v>407746000</v>
      </c>
      <c r="Q126" s="242">
        <v>1121565000</v>
      </c>
      <c r="R126" s="239">
        <v>2362366000</v>
      </c>
      <c r="S126" s="239">
        <v>20161000</v>
      </c>
      <c r="T126" s="239">
        <v>0</v>
      </c>
      <c r="U126" s="239">
        <v>0</v>
      </c>
      <c r="V126" s="239">
        <v>2374629000</v>
      </c>
      <c r="W126" s="239">
        <v>1257770000</v>
      </c>
      <c r="X126" s="242">
        <v>1116859000</v>
      </c>
      <c r="Y126" s="239">
        <v>330966000</v>
      </c>
      <c r="Z126" s="242">
        <v>3830352000</v>
      </c>
      <c r="AA126" s="242">
        <v>4951917000</v>
      </c>
      <c r="AB126" s="239">
        <v>21247000</v>
      </c>
      <c r="AC126" s="239">
        <v>58881000</v>
      </c>
      <c r="AD126" s="239">
        <v>0</v>
      </c>
      <c r="AE126" s="239">
        <v>749171000</v>
      </c>
      <c r="AF126" s="242">
        <v>829299000</v>
      </c>
      <c r="AG126" s="239">
        <v>1203177000</v>
      </c>
      <c r="AH126" s="239">
        <v>0</v>
      </c>
      <c r="AI126" s="239">
        <v>494043000</v>
      </c>
      <c r="AJ126" s="242">
        <v>1697220000</v>
      </c>
      <c r="AK126" s="242">
        <v>2526519000</v>
      </c>
      <c r="AL126" s="239">
        <v>1561417000</v>
      </c>
      <c r="AM126" s="239">
        <v>863981000</v>
      </c>
      <c r="AN126" s="239">
        <v>0</v>
      </c>
      <c r="AO126" s="242">
        <v>2425398000</v>
      </c>
      <c r="AP126" s="242">
        <v>4951917000</v>
      </c>
      <c r="AQ126" s="239">
        <v>1954290000</v>
      </c>
      <c r="AR126" s="239">
        <v>0</v>
      </c>
      <c r="AS126" s="239">
        <v>412383000</v>
      </c>
      <c r="AT126" s="239">
        <v>0</v>
      </c>
      <c r="AU126" s="239">
        <v>0</v>
      </c>
      <c r="AV126" s="239">
        <v>8029000</v>
      </c>
      <c r="AW126" s="242">
        <v>2374702000</v>
      </c>
      <c r="AX126" s="239">
        <v>6750000</v>
      </c>
      <c r="AY126" s="239">
        <v>0</v>
      </c>
      <c r="AZ126" s="239">
        <v>0</v>
      </c>
      <c r="BA126" s="239">
        <v>5245000</v>
      </c>
      <c r="BB126" s="239">
        <v>78765000</v>
      </c>
      <c r="BC126" s="242">
        <v>90760000</v>
      </c>
      <c r="BD126" s="242">
        <v>2465462000</v>
      </c>
      <c r="BE126" s="239">
        <v>1328215000</v>
      </c>
      <c r="BF126" s="239">
        <v>0</v>
      </c>
      <c r="BG126" s="239">
        <v>61860000</v>
      </c>
      <c r="BH126" s="239">
        <v>14326000</v>
      </c>
      <c r="BI126" s="239">
        <v>76806000</v>
      </c>
      <c r="BJ126" s="239">
        <v>929966000</v>
      </c>
      <c r="BK126" s="239">
        <v>0</v>
      </c>
      <c r="BL126" s="242">
        <v>2411173000</v>
      </c>
      <c r="BM126" s="242">
        <v>54289000</v>
      </c>
      <c r="BN126" s="239">
        <v>0</v>
      </c>
      <c r="BO126" s="239">
        <v>106000</v>
      </c>
      <c r="BP126" s="239">
        <v>54395000</v>
      </c>
      <c r="BQ126" s="239">
        <v>0</v>
      </c>
      <c r="BR126" s="239">
        <v>0</v>
      </c>
      <c r="BS126" s="242">
        <v>54395000</v>
      </c>
    </row>
    <row r="127" spans="1:71" s="164" customFormat="1" ht="30" customHeight="1" x14ac:dyDescent="0.3">
      <c r="A127" s="197"/>
      <c r="B127" s="197"/>
      <c r="C127" s="197"/>
      <c r="D127" s="197"/>
      <c r="E127" s="197"/>
      <c r="F127" s="197"/>
      <c r="G127" s="197"/>
      <c r="H127" s="197"/>
      <c r="I127" s="197"/>
      <c r="J127" s="198"/>
      <c r="K127" s="198"/>
      <c r="L127" s="198"/>
      <c r="M127" s="198"/>
      <c r="N127" s="198"/>
      <c r="O127" s="198"/>
      <c r="P127" s="198"/>
      <c r="Q127" s="199"/>
      <c r="R127" s="198"/>
      <c r="S127" s="198"/>
      <c r="T127" s="198"/>
      <c r="U127" s="198"/>
      <c r="V127" s="198"/>
      <c r="W127" s="198"/>
      <c r="X127" s="199"/>
      <c r="Y127" s="198"/>
      <c r="Z127" s="199"/>
      <c r="AA127" s="199"/>
      <c r="AB127" s="198"/>
      <c r="AC127" s="198"/>
      <c r="AD127" s="198"/>
      <c r="AE127" s="198"/>
      <c r="AF127" s="199"/>
      <c r="AG127" s="198"/>
      <c r="AH127" s="198"/>
      <c r="AI127" s="198"/>
      <c r="AJ127" s="199"/>
      <c r="AK127" s="199"/>
      <c r="AL127" s="198"/>
      <c r="AM127" s="198"/>
      <c r="AN127" s="198"/>
      <c r="AO127" s="199"/>
      <c r="AP127" s="199"/>
      <c r="AQ127" s="198"/>
      <c r="AR127" s="198"/>
      <c r="AS127" s="198"/>
      <c r="AT127" s="198"/>
      <c r="AU127" s="198"/>
      <c r="AV127" s="198"/>
      <c r="AW127" s="199"/>
      <c r="AX127" s="198"/>
      <c r="AY127" s="198"/>
      <c r="AZ127" s="198"/>
      <c r="BA127" s="198"/>
      <c r="BB127" s="198"/>
      <c r="BC127" s="199"/>
      <c r="BD127" s="199"/>
      <c r="BE127" s="198"/>
      <c r="BF127" s="198"/>
      <c r="BG127" s="198"/>
      <c r="BH127" s="198"/>
      <c r="BI127" s="198"/>
      <c r="BJ127" s="198"/>
      <c r="BK127" s="198"/>
      <c r="BL127" s="199"/>
      <c r="BM127" s="199"/>
      <c r="BN127" s="198"/>
      <c r="BO127" s="198"/>
      <c r="BP127" s="198"/>
      <c r="BQ127" s="198"/>
      <c r="BR127" s="198"/>
      <c r="BS127" s="199"/>
    </row>
    <row r="128" spans="1:71" s="202" customFormat="1" ht="30" customHeight="1" x14ac:dyDescent="0.3">
      <c r="A128" s="200"/>
      <c r="B128" s="200"/>
      <c r="C128" s="200"/>
      <c r="D128" s="200"/>
      <c r="E128" s="200"/>
      <c r="F128" s="200"/>
      <c r="G128" s="200"/>
      <c r="H128" s="200"/>
      <c r="I128" s="200"/>
      <c r="J128" s="201"/>
      <c r="K128" s="201"/>
      <c r="L128" s="201"/>
      <c r="M128" s="201"/>
      <c r="N128" s="201"/>
      <c r="O128" s="201"/>
      <c r="P128" s="201"/>
      <c r="Q128" s="199"/>
      <c r="R128" s="201"/>
      <c r="S128" s="201"/>
      <c r="T128" s="201"/>
      <c r="U128" s="201"/>
      <c r="V128" s="201"/>
      <c r="W128" s="201"/>
      <c r="X128" s="199"/>
      <c r="Y128" s="201"/>
      <c r="Z128" s="199"/>
      <c r="AA128" s="199"/>
      <c r="AB128" s="201"/>
      <c r="AC128" s="201"/>
      <c r="AD128" s="201"/>
      <c r="AE128" s="201"/>
      <c r="AF128" s="199"/>
      <c r="AG128" s="201"/>
      <c r="AH128" s="201"/>
      <c r="AI128" s="201"/>
      <c r="AJ128" s="199"/>
      <c r="AK128" s="199"/>
      <c r="AL128" s="201"/>
      <c r="AM128" s="201"/>
      <c r="AN128" s="201"/>
      <c r="AO128" s="199"/>
      <c r="AP128" s="199"/>
      <c r="AQ128" s="201"/>
      <c r="AR128" s="201"/>
      <c r="AS128" s="201"/>
      <c r="AT128" s="201"/>
      <c r="AU128" s="201"/>
      <c r="AV128" s="201"/>
      <c r="AW128" s="199"/>
      <c r="AX128" s="201"/>
      <c r="AY128" s="201"/>
      <c r="AZ128" s="201"/>
      <c r="BA128" s="201"/>
      <c r="BB128" s="201"/>
      <c r="BC128" s="199"/>
      <c r="BD128" s="199"/>
      <c r="BE128" s="201"/>
      <c r="BF128" s="201"/>
      <c r="BG128" s="201"/>
      <c r="BH128" s="201"/>
      <c r="BI128" s="201"/>
      <c r="BJ128" s="201"/>
      <c r="BK128" s="201"/>
      <c r="BL128" s="199"/>
      <c r="BM128" s="199"/>
      <c r="BN128" s="201"/>
      <c r="BO128" s="201"/>
      <c r="BP128" s="201"/>
      <c r="BQ128" s="201"/>
      <c r="BR128" s="201"/>
      <c r="BS128" s="199"/>
    </row>
    <row r="129" spans="1:71" s="164" customFormat="1" ht="30" customHeight="1" x14ac:dyDescent="0.3">
      <c r="A129" s="197"/>
      <c r="B129" s="197"/>
      <c r="C129" s="197"/>
      <c r="D129" s="197"/>
      <c r="E129" s="197"/>
      <c r="F129" s="197"/>
      <c r="G129" s="197"/>
      <c r="H129" s="197"/>
      <c r="I129" s="197"/>
      <c r="J129" s="198"/>
      <c r="K129" s="198"/>
      <c r="L129" s="198"/>
      <c r="M129" s="198"/>
      <c r="N129" s="198"/>
      <c r="O129" s="198"/>
      <c r="P129" s="198"/>
      <c r="Q129" s="199"/>
      <c r="R129" s="198"/>
      <c r="S129" s="198"/>
      <c r="T129" s="198"/>
      <c r="U129" s="198"/>
      <c r="V129" s="198"/>
      <c r="W129" s="198"/>
      <c r="X129" s="199"/>
      <c r="Y129" s="198"/>
      <c r="Z129" s="199"/>
      <c r="AA129" s="199"/>
      <c r="AB129" s="198"/>
      <c r="AC129" s="198"/>
      <c r="AD129" s="198"/>
      <c r="AE129" s="198"/>
      <c r="AF129" s="199"/>
      <c r="AG129" s="198"/>
      <c r="AH129" s="198"/>
      <c r="AI129" s="198"/>
      <c r="AJ129" s="199"/>
      <c r="AK129" s="199"/>
      <c r="AL129" s="198"/>
      <c r="AM129" s="198"/>
      <c r="AN129" s="198"/>
      <c r="AO129" s="199"/>
      <c r="AP129" s="199"/>
      <c r="AQ129" s="198"/>
      <c r="AR129" s="198"/>
      <c r="AS129" s="198"/>
      <c r="AT129" s="198"/>
      <c r="AU129" s="198"/>
      <c r="AV129" s="198"/>
      <c r="AW129" s="199"/>
      <c r="AX129" s="198"/>
      <c r="AY129" s="198"/>
      <c r="AZ129" s="198"/>
      <c r="BA129" s="198"/>
      <c r="BB129" s="198"/>
      <c r="BC129" s="199"/>
      <c r="BD129" s="199"/>
      <c r="BE129" s="198"/>
      <c r="BF129" s="198"/>
      <c r="BG129" s="198"/>
      <c r="BH129" s="198"/>
      <c r="BI129" s="198"/>
      <c r="BJ129" s="198"/>
      <c r="BK129" s="198"/>
      <c r="BL129" s="199"/>
      <c r="BM129" s="199"/>
      <c r="BN129" s="198"/>
      <c r="BO129" s="198"/>
      <c r="BP129" s="198"/>
      <c r="BQ129" s="198"/>
      <c r="BR129" s="198"/>
      <c r="BS129" s="199"/>
    </row>
    <row r="130" spans="1:71" s="202" customFormat="1" ht="30" customHeight="1" x14ac:dyDescent="0.3">
      <c r="A130" s="200"/>
      <c r="B130" s="200"/>
      <c r="C130" s="200"/>
      <c r="D130" s="200"/>
      <c r="E130" s="200"/>
      <c r="F130" s="200"/>
      <c r="G130" s="200"/>
      <c r="H130" s="200"/>
      <c r="I130" s="200"/>
      <c r="J130" s="201"/>
      <c r="K130" s="201"/>
      <c r="L130" s="201"/>
      <c r="M130" s="201"/>
      <c r="N130" s="201"/>
      <c r="O130" s="201"/>
      <c r="P130" s="201"/>
      <c r="Q130" s="199"/>
      <c r="R130" s="201"/>
      <c r="S130" s="201"/>
      <c r="T130" s="201"/>
      <c r="U130" s="201"/>
      <c r="V130" s="201"/>
      <c r="W130" s="201"/>
      <c r="X130" s="199"/>
      <c r="Y130" s="201"/>
      <c r="Z130" s="199"/>
      <c r="AA130" s="199"/>
      <c r="AB130" s="201"/>
      <c r="AC130" s="201"/>
      <c r="AD130" s="201"/>
      <c r="AE130" s="201"/>
      <c r="AF130" s="199"/>
      <c r="AG130" s="201"/>
      <c r="AH130" s="201"/>
      <c r="AI130" s="201"/>
      <c r="AJ130" s="199"/>
      <c r="AK130" s="199"/>
      <c r="AL130" s="201"/>
      <c r="AM130" s="201"/>
      <c r="AN130" s="201"/>
      <c r="AO130" s="199"/>
      <c r="AP130" s="199"/>
      <c r="AQ130" s="201"/>
      <c r="AR130" s="201"/>
      <c r="AS130" s="201"/>
      <c r="AT130" s="201"/>
      <c r="AU130" s="201"/>
      <c r="AV130" s="201"/>
      <c r="AW130" s="199"/>
      <c r="AX130" s="201"/>
      <c r="AY130" s="201"/>
      <c r="AZ130" s="201"/>
      <c r="BA130" s="201"/>
      <c r="BB130" s="201"/>
      <c r="BC130" s="199"/>
      <c r="BD130" s="199"/>
      <c r="BE130" s="201"/>
      <c r="BF130" s="201"/>
      <c r="BG130" s="201"/>
      <c r="BH130" s="201"/>
      <c r="BI130" s="201"/>
      <c r="BJ130" s="201"/>
      <c r="BK130" s="201"/>
      <c r="BL130" s="199"/>
      <c r="BM130" s="199"/>
      <c r="BN130" s="201"/>
      <c r="BO130" s="201"/>
      <c r="BP130" s="201"/>
      <c r="BQ130" s="201"/>
      <c r="BR130" s="201"/>
      <c r="BS130" s="199"/>
    </row>
    <row r="131" spans="1:71" s="164" customFormat="1" ht="30" customHeight="1" x14ac:dyDescent="0.3">
      <c r="A131" s="197"/>
      <c r="B131" s="197"/>
      <c r="C131" s="197"/>
      <c r="D131" s="197"/>
      <c r="E131" s="197"/>
      <c r="F131" s="197"/>
      <c r="G131" s="197"/>
      <c r="H131" s="197"/>
      <c r="I131" s="197"/>
      <c r="J131" s="198"/>
      <c r="K131" s="198"/>
      <c r="L131" s="198"/>
      <c r="M131" s="198"/>
      <c r="N131" s="198"/>
      <c r="O131" s="198"/>
      <c r="P131" s="198"/>
      <c r="Q131" s="199"/>
      <c r="R131" s="198"/>
      <c r="S131" s="198"/>
      <c r="T131" s="198"/>
      <c r="U131" s="198"/>
      <c r="V131" s="198"/>
      <c r="W131" s="198"/>
      <c r="X131" s="199"/>
      <c r="Y131" s="198"/>
      <c r="Z131" s="199"/>
      <c r="AA131" s="199"/>
      <c r="AB131" s="198"/>
      <c r="AC131" s="198"/>
      <c r="AD131" s="198"/>
      <c r="AE131" s="198"/>
      <c r="AF131" s="199"/>
      <c r="AG131" s="198"/>
      <c r="AH131" s="198"/>
      <c r="AI131" s="198"/>
      <c r="AJ131" s="199"/>
      <c r="AK131" s="199"/>
      <c r="AL131" s="198"/>
      <c r="AM131" s="198"/>
      <c r="AN131" s="198"/>
      <c r="AO131" s="199"/>
      <c r="AP131" s="199"/>
      <c r="AQ131" s="198"/>
      <c r="AR131" s="198"/>
      <c r="AS131" s="198"/>
      <c r="AT131" s="198"/>
      <c r="AU131" s="198"/>
      <c r="AV131" s="198"/>
      <c r="AW131" s="199"/>
      <c r="AX131" s="198"/>
      <c r="AY131" s="198"/>
      <c r="AZ131" s="198"/>
      <c r="BA131" s="198"/>
      <c r="BB131" s="198"/>
      <c r="BC131" s="199"/>
      <c r="BD131" s="199"/>
      <c r="BE131" s="198"/>
      <c r="BF131" s="198"/>
      <c r="BG131" s="198"/>
      <c r="BH131" s="198"/>
      <c r="BI131" s="198"/>
      <c r="BJ131" s="198"/>
      <c r="BK131" s="198"/>
      <c r="BL131" s="199"/>
      <c r="BM131" s="199"/>
      <c r="BN131" s="198"/>
      <c r="BO131" s="198"/>
      <c r="BP131" s="198"/>
      <c r="BQ131" s="198"/>
      <c r="BR131" s="198"/>
      <c r="BS131" s="199"/>
    </row>
    <row r="132" spans="1:71" s="164" customFormat="1" ht="30" customHeight="1" x14ac:dyDescent="0.3">
      <c r="A132" s="161"/>
      <c r="B132" s="161"/>
      <c r="C132" s="161"/>
      <c r="D132" s="161"/>
      <c r="E132" s="161"/>
      <c r="F132" s="161"/>
      <c r="G132" s="161"/>
      <c r="H132" s="161"/>
      <c r="I132" s="161"/>
      <c r="J132" s="162"/>
      <c r="K132" s="162"/>
      <c r="L132" s="162"/>
      <c r="M132" s="162"/>
      <c r="N132" s="162"/>
      <c r="O132" s="162"/>
      <c r="P132" s="162"/>
      <c r="Q132" s="199"/>
      <c r="R132" s="162"/>
      <c r="S132" s="162"/>
      <c r="T132" s="162"/>
      <c r="U132" s="162"/>
      <c r="V132" s="162"/>
      <c r="W132" s="162"/>
      <c r="X132" s="199"/>
      <c r="Y132" s="198"/>
      <c r="Z132" s="199"/>
      <c r="AA132" s="199"/>
      <c r="AB132" s="162"/>
      <c r="AC132" s="162"/>
      <c r="AD132" s="162"/>
      <c r="AE132" s="162"/>
      <c r="AF132" s="199"/>
      <c r="AG132" s="162"/>
      <c r="AH132" s="162"/>
      <c r="AI132" s="162"/>
      <c r="AJ132" s="199"/>
      <c r="AK132" s="199"/>
      <c r="AL132" s="162"/>
      <c r="AM132" s="162"/>
      <c r="AN132" s="162"/>
      <c r="AO132" s="199"/>
      <c r="AP132" s="199"/>
      <c r="AQ132" s="162"/>
      <c r="AR132" s="162"/>
      <c r="AS132" s="162"/>
      <c r="AT132" s="162"/>
      <c r="AU132" s="162"/>
      <c r="AV132" s="162"/>
      <c r="AW132" s="199"/>
      <c r="AX132" s="162"/>
      <c r="AY132" s="162"/>
      <c r="AZ132" s="162"/>
      <c r="BA132" s="162"/>
      <c r="BB132" s="162"/>
      <c r="BC132" s="199"/>
      <c r="BD132" s="199"/>
      <c r="BE132" s="162"/>
      <c r="BF132" s="162"/>
      <c r="BG132" s="162"/>
      <c r="BH132" s="162"/>
      <c r="BI132" s="162"/>
      <c r="BJ132" s="162"/>
      <c r="BK132" s="162"/>
      <c r="BL132" s="199"/>
      <c r="BM132" s="199"/>
      <c r="BN132" s="162"/>
      <c r="BO132" s="162"/>
      <c r="BP132" s="162"/>
      <c r="BQ132" s="162"/>
      <c r="BR132" s="162"/>
      <c r="BS132" s="199"/>
    </row>
    <row r="133" spans="1:71" s="164" customFormat="1" ht="30" customHeight="1" x14ac:dyDescent="0.3">
      <c r="A133" s="197"/>
      <c r="B133" s="197"/>
      <c r="C133" s="197"/>
      <c r="D133" s="197"/>
      <c r="E133" s="197"/>
      <c r="F133" s="197"/>
      <c r="G133" s="197"/>
      <c r="H133" s="197"/>
      <c r="I133" s="197"/>
      <c r="J133" s="198"/>
      <c r="K133" s="198"/>
      <c r="L133" s="198"/>
      <c r="M133" s="198"/>
      <c r="N133" s="198"/>
      <c r="O133" s="198"/>
      <c r="P133" s="198"/>
      <c r="Q133" s="199"/>
      <c r="R133" s="198"/>
      <c r="S133" s="198"/>
      <c r="T133" s="198"/>
      <c r="U133" s="198"/>
      <c r="V133" s="198"/>
      <c r="W133" s="198"/>
      <c r="X133" s="199"/>
      <c r="Y133" s="198"/>
      <c r="Z133" s="199"/>
      <c r="AA133" s="199"/>
      <c r="AB133" s="198"/>
      <c r="AC133" s="198"/>
      <c r="AD133" s="198"/>
      <c r="AE133" s="198"/>
      <c r="AF133" s="199"/>
      <c r="AG133" s="198"/>
      <c r="AH133" s="198"/>
      <c r="AI133" s="198"/>
      <c r="AJ133" s="199"/>
      <c r="AK133" s="199"/>
      <c r="AL133" s="198"/>
      <c r="AM133" s="198"/>
      <c r="AN133" s="198"/>
      <c r="AO133" s="199"/>
      <c r="AP133" s="199"/>
      <c r="AQ133" s="198"/>
      <c r="AR133" s="198"/>
      <c r="AS133" s="198"/>
      <c r="AT133" s="198"/>
      <c r="AU133" s="198"/>
      <c r="AV133" s="198"/>
      <c r="AW133" s="199"/>
      <c r="AX133" s="198"/>
      <c r="AY133" s="198"/>
      <c r="AZ133" s="198"/>
      <c r="BA133" s="198"/>
      <c r="BB133" s="198"/>
      <c r="BC133" s="199"/>
      <c r="BD133" s="199"/>
      <c r="BE133" s="198"/>
      <c r="BF133" s="198"/>
      <c r="BG133" s="198"/>
      <c r="BH133" s="198"/>
      <c r="BI133" s="198"/>
      <c r="BJ133" s="198"/>
      <c r="BK133" s="198"/>
      <c r="BL133" s="199"/>
      <c r="BM133" s="199"/>
      <c r="BN133" s="198"/>
      <c r="BO133" s="198"/>
      <c r="BP133" s="198"/>
      <c r="BQ133" s="198"/>
      <c r="BR133" s="198"/>
      <c r="BS133" s="199"/>
    </row>
    <row r="134" spans="1:71" s="164" customFormat="1" ht="30" customHeight="1" x14ac:dyDescent="0.3">
      <c r="A134" s="161"/>
      <c r="B134" s="161"/>
      <c r="C134" s="161"/>
      <c r="D134" s="161"/>
      <c r="E134" s="161"/>
      <c r="F134" s="161"/>
      <c r="G134" s="161"/>
      <c r="H134" s="161"/>
      <c r="I134" s="161"/>
      <c r="J134" s="162"/>
      <c r="K134" s="162"/>
      <c r="L134" s="162"/>
      <c r="M134" s="162"/>
      <c r="N134" s="162"/>
      <c r="O134" s="162"/>
      <c r="P134" s="162"/>
      <c r="Q134" s="163"/>
      <c r="R134" s="162"/>
      <c r="S134" s="162"/>
      <c r="T134" s="162"/>
      <c r="U134" s="162"/>
      <c r="V134" s="162"/>
      <c r="W134" s="162"/>
      <c r="X134" s="163"/>
      <c r="Y134" s="162"/>
      <c r="Z134" s="163"/>
      <c r="AA134" s="163"/>
      <c r="AB134" s="162"/>
      <c r="AC134" s="162"/>
      <c r="AD134" s="162"/>
      <c r="AE134" s="162"/>
      <c r="AF134" s="163"/>
      <c r="AG134" s="162"/>
      <c r="AH134" s="162"/>
      <c r="AI134" s="162"/>
      <c r="AJ134" s="163"/>
      <c r="AK134" s="163"/>
      <c r="AL134" s="162"/>
      <c r="AM134" s="162"/>
      <c r="AN134" s="162"/>
      <c r="AO134" s="163"/>
      <c r="AP134" s="163"/>
      <c r="AQ134" s="162"/>
      <c r="AR134" s="162"/>
      <c r="AS134" s="162"/>
      <c r="AT134" s="162"/>
      <c r="AU134" s="162"/>
      <c r="AV134" s="162"/>
      <c r="AW134" s="163"/>
      <c r="AX134" s="162"/>
      <c r="AY134" s="162"/>
      <c r="AZ134" s="162"/>
      <c r="BA134" s="162"/>
      <c r="BB134" s="162"/>
      <c r="BC134" s="163"/>
      <c r="BD134" s="163"/>
      <c r="BE134" s="162"/>
      <c r="BF134" s="162"/>
      <c r="BG134" s="162"/>
      <c r="BH134" s="162"/>
      <c r="BI134" s="162"/>
      <c r="BJ134" s="162"/>
      <c r="BK134" s="162"/>
      <c r="BL134" s="163"/>
      <c r="BM134" s="163"/>
      <c r="BN134" s="162"/>
      <c r="BO134" s="162"/>
      <c r="BP134" s="162"/>
      <c r="BQ134" s="162"/>
      <c r="BR134" s="162"/>
      <c r="BS134" s="163"/>
    </row>
    <row r="135" spans="1:71" s="164" customFormat="1" ht="30" customHeight="1" x14ac:dyDescent="0.3">
      <c r="A135" s="165" t="s">
        <v>279</v>
      </c>
      <c r="B135" s="161"/>
      <c r="C135" s="161"/>
      <c r="D135" s="161"/>
      <c r="E135" s="161"/>
      <c r="F135" s="161"/>
      <c r="G135" s="161"/>
      <c r="H135" s="161"/>
      <c r="I135" s="161"/>
      <c r="J135" s="162"/>
      <c r="K135" s="162"/>
      <c r="L135" s="162"/>
      <c r="M135" s="162"/>
      <c r="N135" s="162"/>
      <c r="O135" s="162"/>
      <c r="P135" s="162"/>
      <c r="Q135" s="163"/>
      <c r="R135" s="162"/>
      <c r="S135" s="162"/>
      <c r="T135" s="162"/>
      <c r="U135" s="162"/>
      <c r="V135" s="162"/>
      <c r="W135" s="162"/>
      <c r="X135" s="163"/>
      <c r="Y135" s="162"/>
      <c r="Z135" s="163"/>
      <c r="AA135" s="163"/>
      <c r="AB135" s="162"/>
      <c r="AC135" s="162"/>
      <c r="AD135" s="162"/>
      <c r="AE135" s="162"/>
      <c r="AF135" s="163"/>
      <c r="AG135" s="162"/>
      <c r="AH135" s="162"/>
      <c r="AI135" s="162"/>
      <c r="AJ135" s="163"/>
      <c r="AK135" s="163"/>
      <c r="AL135" s="162"/>
      <c r="AM135" s="162"/>
      <c r="AN135" s="162"/>
      <c r="AO135" s="163"/>
      <c r="AP135" s="163"/>
      <c r="AQ135" s="162"/>
      <c r="AR135" s="162"/>
      <c r="AS135" s="162"/>
      <c r="AT135" s="162"/>
      <c r="AU135" s="162"/>
      <c r="AV135" s="162"/>
      <c r="AW135" s="163"/>
      <c r="AX135" s="162"/>
      <c r="AY135" s="162"/>
      <c r="AZ135" s="162"/>
      <c r="BA135" s="162"/>
      <c r="BB135" s="162"/>
      <c r="BC135" s="163"/>
      <c r="BD135" s="163"/>
      <c r="BE135" s="162"/>
      <c r="BF135" s="162"/>
      <c r="BG135" s="162"/>
      <c r="BH135" s="162"/>
      <c r="BI135" s="162"/>
      <c r="BJ135" s="162"/>
      <c r="BK135" s="162"/>
      <c r="BL135" s="163"/>
      <c r="BM135" s="163"/>
      <c r="BN135" s="162"/>
      <c r="BO135" s="162"/>
      <c r="BP135" s="162"/>
      <c r="BQ135" s="162"/>
      <c r="BR135" s="162"/>
      <c r="BS135" s="163"/>
    </row>
    <row r="136" spans="1:71" s="164" customFormat="1" ht="30" customHeight="1" x14ac:dyDescent="0.3">
      <c r="A136" s="165" t="s">
        <v>280</v>
      </c>
      <c r="B136" s="161"/>
      <c r="C136" s="161"/>
      <c r="D136" s="161"/>
      <c r="E136" s="161"/>
      <c r="F136" s="161"/>
      <c r="G136" s="161"/>
      <c r="H136" s="161"/>
      <c r="I136" s="161"/>
      <c r="J136" s="162"/>
      <c r="K136" s="162"/>
      <c r="L136" s="162"/>
      <c r="M136" s="162"/>
      <c r="N136" s="162"/>
      <c r="O136" s="162"/>
      <c r="P136" s="162"/>
      <c r="Q136" s="163"/>
      <c r="R136" s="162"/>
      <c r="S136" s="162"/>
      <c r="T136" s="162"/>
      <c r="U136" s="162"/>
      <c r="V136" s="162"/>
      <c r="W136" s="162"/>
      <c r="X136" s="163"/>
      <c r="Y136" s="162"/>
      <c r="Z136" s="163"/>
      <c r="AA136" s="163"/>
      <c r="AB136" s="162"/>
      <c r="AC136" s="162"/>
      <c r="AD136" s="162"/>
      <c r="AE136" s="162"/>
      <c r="AF136" s="163"/>
      <c r="AG136" s="162"/>
      <c r="AH136" s="162"/>
      <c r="AI136" s="162"/>
      <c r="AJ136" s="163"/>
      <c r="AK136" s="163"/>
      <c r="AL136" s="162"/>
      <c r="AM136" s="162"/>
      <c r="AN136" s="162"/>
      <c r="AO136" s="163"/>
      <c r="AP136" s="163"/>
      <c r="AQ136" s="162"/>
      <c r="AR136" s="162"/>
      <c r="AS136" s="162"/>
      <c r="AT136" s="162"/>
      <c r="AU136" s="162"/>
      <c r="AV136" s="162"/>
      <c r="AW136" s="163"/>
      <c r="AX136" s="162"/>
      <c r="AY136" s="162"/>
      <c r="AZ136" s="162"/>
      <c r="BA136" s="162"/>
      <c r="BB136" s="162"/>
      <c r="BC136" s="163"/>
      <c r="BD136" s="163"/>
      <c r="BE136" s="162"/>
      <c r="BF136" s="162"/>
      <c r="BG136" s="162"/>
      <c r="BH136" s="162"/>
      <c r="BI136" s="162"/>
      <c r="BJ136" s="162"/>
      <c r="BK136" s="162"/>
      <c r="BL136" s="163"/>
      <c r="BM136" s="163"/>
      <c r="BN136" s="162"/>
      <c r="BO136" s="162"/>
      <c r="BP136" s="162"/>
      <c r="BQ136" s="162"/>
      <c r="BR136" s="162"/>
      <c r="BS136" s="163"/>
    </row>
    <row r="137" spans="1:71" s="164" customFormat="1" ht="30" customHeight="1" x14ac:dyDescent="0.3">
      <c r="A137" s="165" t="s">
        <v>281</v>
      </c>
      <c r="B137" s="161"/>
      <c r="C137" s="161"/>
      <c r="D137" s="161"/>
      <c r="E137" s="161"/>
      <c r="F137" s="161"/>
      <c r="G137" s="161"/>
      <c r="H137" s="161"/>
      <c r="I137" s="161"/>
      <c r="J137" s="162"/>
      <c r="K137" s="162"/>
      <c r="L137" s="162"/>
      <c r="M137" s="162"/>
      <c r="N137" s="162"/>
      <c r="O137" s="162"/>
      <c r="P137" s="162"/>
      <c r="Q137" s="163"/>
      <c r="R137" s="162"/>
      <c r="S137" s="162"/>
      <c r="T137" s="162"/>
      <c r="U137" s="162"/>
      <c r="V137" s="162"/>
      <c r="W137" s="162"/>
      <c r="X137" s="163"/>
      <c r="Y137" s="162"/>
      <c r="Z137" s="163"/>
      <c r="AA137" s="163"/>
      <c r="AB137" s="162"/>
      <c r="AC137" s="162"/>
      <c r="AD137" s="162"/>
      <c r="AE137" s="162"/>
      <c r="AF137" s="163"/>
      <c r="AG137" s="162"/>
      <c r="AH137" s="162"/>
      <c r="AI137" s="162"/>
      <c r="AJ137" s="163"/>
      <c r="AK137" s="163"/>
      <c r="AL137" s="162"/>
      <c r="AM137" s="162"/>
      <c r="AN137" s="162"/>
      <c r="AO137" s="163"/>
      <c r="AP137" s="163"/>
      <c r="AQ137" s="162"/>
      <c r="AR137" s="162"/>
      <c r="AS137" s="162"/>
      <c r="AT137" s="162"/>
      <c r="AU137" s="162"/>
      <c r="AV137" s="162"/>
      <c r="AW137" s="163"/>
      <c r="AX137" s="162"/>
      <c r="AY137" s="162"/>
      <c r="AZ137" s="162"/>
      <c r="BA137" s="162"/>
      <c r="BB137" s="162"/>
      <c r="BC137" s="163"/>
      <c r="BD137" s="163"/>
      <c r="BE137" s="162"/>
      <c r="BF137" s="162"/>
      <c r="BG137" s="162"/>
      <c r="BH137" s="162"/>
      <c r="BI137" s="162"/>
      <c r="BJ137" s="162"/>
      <c r="BK137" s="162"/>
      <c r="BL137" s="163"/>
      <c r="BM137" s="163"/>
      <c r="BN137" s="162"/>
      <c r="BO137" s="162"/>
      <c r="BP137" s="162"/>
      <c r="BQ137" s="162"/>
      <c r="BR137" s="162"/>
      <c r="BS137" s="163"/>
    </row>
    <row r="138" spans="1:71" ht="30" customHeight="1" x14ac:dyDescent="0.3">
      <c r="A138" s="93"/>
      <c r="B138" s="93"/>
      <c r="C138" s="93"/>
      <c r="D138" s="93"/>
      <c r="E138" s="93"/>
      <c r="F138" s="93"/>
      <c r="G138" s="93"/>
      <c r="H138" s="93"/>
      <c r="I138" s="93"/>
      <c r="J138" s="94"/>
      <c r="K138" s="94"/>
      <c r="L138" s="94"/>
      <c r="M138" s="94"/>
      <c r="N138" s="94"/>
      <c r="O138" s="94"/>
      <c r="P138" s="94"/>
      <c r="Q138" s="95"/>
      <c r="R138" s="94"/>
      <c r="S138" s="94"/>
      <c r="T138" s="94"/>
      <c r="U138" s="94"/>
      <c r="V138" s="94"/>
      <c r="W138" s="94"/>
      <c r="X138" s="95"/>
      <c r="Y138" s="94"/>
      <c r="Z138" s="95"/>
      <c r="AA138" s="95"/>
      <c r="AB138" s="94"/>
      <c r="AC138" s="94"/>
      <c r="AD138" s="94"/>
      <c r="AE138" s="94"/>
      <c r="AF138" s="95"/>
      <c r="AG138" s="94"/>
      <c r="AH138" s="94"/>
      <c r="AI138" s="94"/>
      <c r="AJ138" s="95"/>
      <c r="AK138" s="95"/>
      <c r="AL138" s="94"/>
      <c r="AM138" s="94"/>
      <c r="AN138" s="94"/>
      <c r="AO138" s="95"/>
      <c r="AP138" s="95"/>
      <c r="AQ138" s="94"/>
      <c r="AR138" s="94"/>
      <c r="AS138" s="94"/>
      <c r="AT138" s="94"/>
      <c r="AU138" s="94"/>
      <c r="AV138" s="94"/>
      <c r="AW138" s="95"/>
      <c r="AX138" s="94"/>
      <c r="AY138" s="94"/>
      <c r="AZ138" s="94"/>
      <c r="BA138" s="94"/>
      <c r="BB138" s="94"/>
      <c r="BC138" s="95"/>
      <c r="BD138" s="95"/>
      <c r="BE138" s="94"/>
      <c r="BF138" s="94"/>
      <c r="BG138" s="94"/>
      <c r="BH138" s="94"/>
      <c r="BI138" s="94"/>
      <c r="BJ138" s="94"/>
      <c r="BK138" s="94"/>
      <c r="BL138" s="95"/>
      <c r="BM138" s="95"/>
      <c r="BN138" s="94"/>
      <c r="BO138" s="94"/>
      <c r="BP138" s="94"/>
      <c r="BQ138" s="94"/>
      <c r="BR138" s="94"/>
      <c r="BS138" s="95"/>
    </row>
    <row r="139" spans="1:71" ht="30" customHeight="1" x14ac:dyDescent="0.3">
      <c r="A139" s="93"/>
      <c r="B139" s="93"/>
      <c r="C139" s="93"/>
      <c r="D139" s="93"/>
      <c r="E139" s="93"/>
      <c r="F139" s="93"/>
      <c r="G139" s="93"/>
      <c r="H139" s="93"/>
      <c r="I139" s="93"/>
      <c r="J139" s="94"/>
      <c r="K139" s="94"/>
      <c r="L139" s="94"/>
      <c r="M139" s="94"/>
      <c r="N139" s="94"/>
      <c r="O139" s="94"/>
      <c r="P139" s="94"/>
      <c r="Q139" s="95"/>
      <c r="R139" s="94"/>
      <c r="S139" s="94"/>
      <c r="T139" s="94"/>
      <c r="U139" s="94"/>
      <c r="V139" s="94"/>
      <c r="W139" s="94"/>
      <c r="X139" s="95"/>
      <c r="Y139" s="94"/>
      <c r="Z139" s="95"/>
      <c r="AA139" s="95"/>
      <c r="AB139" s="94"/>
      <c r="AC139" s="94"/>
      <c r="AD139" s="94"/>
      <c r="AE139" s="94"/>
      <c r="AF139" s="95"/>
      <c r="AG139" s="94"/>
      <c r="AH139" s="94"/>
      <c r="AI139" s="94"/>
      <c r="AJ139" s="95"/>
      <c r="AK139" s="95"/>
      <c r="AL139" s="94"/>
      <c r="AM139" s="94"/>
      <c r="AN139" s="94"/>
      <c r="AO139" s="95"/>
      <c r="AP139" s="95"/>
      <c r="AQ139" s="94"/>
      <c r="AR139" s="94"/>
      <c r="AS139" s="94"/>
      <c r="AT139" s="94"/>
      <c r="AU139" s="94"/>
      <c r="AV139" s="94"/>
      <c r="AW139" s="95"/>
      <c r="AX139" s="94"/>
      <c r="AY139" s="94"/>
      <c r="AZ139" s="94"/>
      <c r="BA139" s="94"/>
      <c r="BB139" s="94"/>
      <c r="BC139" s="95"/>
      <c r="BD139" s="95"/>
      <c r="BE139" s="94"/>
      <c r="BF139" s="94"/>
      <c r="BG139" s="94"/>
      <c r="BH139" s="94"/>
      <c r="BI139" s="94"/>
      <c r="BJ139" s="94"/>
      <c r="BK139" s="94"/>
      <c r="BL139" s="95"/>
      <c r="BM139" s="95"/>
      <c r="BN139" s="94"/>
      <c r="BO139" s="94"/>
      <c r="BP139" s="94"/>
      <c r="BQ139" s="94"/>
      <c r="BR139" s="94"/>
      <c r="BS139" s="95"/>
    </row>
    <row r="140" spans="1:71" ht="30" customHeight="1" x14ac:dyDescent="0.3">
      <c r="A140" s="93"/>
      <c r="B140" s="93"/>
      <c r="C140" s="93"/>
      <c r="D140" s="93"/>
      <c r="E140" s="93"/>
      <c r="F140" s="93"/>
      <c r="G140" s="93"/>
      <c r="H140" s="93"/>
      <c r="I140" s="93"/>
      <c r="J140" s="94"/>
      <c r="K140" s="94"/>
      <c r="L140" s="94"/>
      <c r="M140" s="94"/>
      <c r="N140" s="94"/>
      <c r="O140" s="94"/>
      <c r="P140" s="94"/>
      <c r="Q140" s="95"/>
      <c r="R140" s="94"/>
      <c r="S140" s="94"/>
      <c r="T140" s="94"/>
      <c r="U140" s="94"/>
      <c r="V140" s="94"/>
      <c r="W140" s="94"/>
      <c r="X140" s="95"/>
      <c r="Y140" s="94"/>
      <c r="Z140" s="95"/>
      <c r="AA140" s="95"/>
      <c r="AB140" s="94"/>
      <c r="AC140" s="94"/>
      <c r="AD140" s="94"/>
      <c r="AE140" s="94"/>
      <c r="AF140" s="95"/>
      <c r="AG140" s="94"/>
      <c r="AH140" s="94"/>
      <c r="AI140" s="94"/>
      <c r="AJ140" s="95"/>
      <c r="AK140" s="95"/>
      <c r="AL140" s="94"/>
      <c r="AM140" s="94"/>
      <c r="AN140" s="94"/>
      <c r="AO140" s="95"/>
      <c r="AP140" s="95"/>
      <c r="AQ140" s="94"/>
      <c r="AR140" s="94"/>
      <c r="AS140" s="94"/>
      <c r="AT140" s="94"/>
      <c r="AU140" s="94"/>
      <c r="AV140" s="94"/>
      <c r="AW140" s="95"/>
      <c r="AX140" s="94"/>
      <c r="AY140" s="94"/>
      <c r="AZ140" s="94"/>
      <c r="BA140" s="94"/>
      <c r="BB140" s="94"/>
      <c r="BC140" s="95"/>
      <c r="BD140" s="95"/>
      <c r="BE140" s="94"/>
      <c r="BF140" s="94"/>
      <c r="BG140" s="94"/>
      <c r="BH140" s="94"/>
      <c r="BI140" s="94"/>
      <c r="BJ140" s="94"/>
      <c r="BK140" s="94"/>
      <c r="BL140" s="95"/>
      <c r="BM140" s="95"/>
      <c r="BN140" s="94"/>
      <c r="BO140" s="94"/>
      <c r="BP140" s="94"/>
      <c r="BQ140" s="94"/>
      <c r="BR140" s="94"/>
      <c r="BS140" s="95"/>
    </row>
    <row r="141" spans="1:71" ht="30" customHeight="1" x14ac:dyDescent="0.3">
      <c r="A141" s="93"/>
      <c r="B141" s="93"/>
      <c r="C141" s="93"/>
      <c r="D141" s="93"/>
      <c r="E141" s="93"/>
      <c r="F141" s="93"/>
      <c r="G141" s="93"/>
      <c r="H141" s="93"/>
      <c r="I141" s="93"/>
      <c r="J141" s="94"/>
      <c r="K141" s="94"/>
      <c r="L141" s="94"/>
      <c r="M141" s="94"/>
      <c r="N141" s="94"/>
      <c r="O141" s="94"/>
      <c r="P141" s="94"/>
      <c r="Q141" s="95"/>
      <c r="R141" s="94"/>
      <c r="S141" s="94"/>
      <c r="T141" s="94"/>
      <c r="U141" s="94"/>
      <c r="V141" s="94"/>
      <c r="W141" s="94"/>
      <c r="X141" s="95"/>
      <c r="Y141" s="94"/>
      <c r="Z141" s="95"/>
      <c r="AA141" s="95"/>
      <c r="AB141" s="94"/>
      <c r="AC141" s="94"/>
      <c r="AD141" s="94"/>
      <c r="AE141" s="94"/>
      <c r="AF141" s="95"/>
      <c r="AG141" s="94"/>
      <c r="AH141" s="94"/>
      <c r="AI141" s="94"/>
      <c r="AJ141" s="95"/>
      <c r="AK141" s="95"/>
      <c r="AL141" s="94"/>
      <c r="AM141" s="94"/>
      <c r="AN141" s="94"/>
      <c r="AO141" s="95"/>
      <c r="AP141" s="95"/>
      <c r="AQ141" s="94"/>
      <c r="AR141" s="94"/>
      <c r="AS141" s="94"/>
      <c r="AT141" s="94"/>
      <c r="AU141" s="94"/>
      <c r="AV141" s="94"/>
      <c r="AW141" s="95"/>
      <c r="AX141" s="94"/>
      <c r="AY141" s="94"/>
      <c r="AZ141" s="94"/>
      <c r="BA141" s="94"/>
      <c r="BB141" s="94"/>
      <c r="BC141" s="95"/>
      <c r="BD141" s="95"/>
      <c r="BE141" s="94"/>
      <c r="BF141" s="94"/>
      <c r="BG141" s="94"/>
      <c r="BH141" s="94"/>
      <c r="BI141" s="94"/>
      <c r="BJ141" s="94"/>
      <c r="BK141" s="94"/>
      <c r="BL141" s="95"/>
      <c r="BM141" s="95"/>
      <c r="BN141" s="94"/>
      <c r="BO141" s="94"/>
      <c r="BP141" s="94"/>
      <c r="BQ141" s="94"/>
      <c r="BR141" s="94"/>
      <c r="BS141" s="95"/>
    </row>
  </sheetData>
  <protectedRanges>
    <protectedRange sqref="A2:VA102" name="Range1_1"/>
  </protectedRanges>
  <autoFilter ref="A1:BS1" xr:uid="{FB593D9C-A869-49A1-AF0B-D40F0BB62941}"/>
  <sortState xmlns:xlrd2="http://schemas.microsoft.com/office/spreadsheetml/2017/richdata2" ref="A1:BS141">
    <sortCondition ref="C2:C141"/>
    <sortCondition ref="B2:B141"/>
  </sortState>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628086-ECC0-4BBA-A38F-EA1181DCAB71}">
  <sheetPr codeName="Sheet13">
    <tabColor rgb="FFFF0000"/>
  </sheetPr>
  <dimension ref="A1:U120"/>
  <sheetViews>
    <sheetView zoomScaleNormal="100" workbookViewId="0">
      <pane xSplit="4" ySplit="1" topLeftCell="E111" activePane="bottomRight" state="frozen"/>
      <selection pane="topRight" activeCell="E1" sqref="E1"/>
      <selection pane="bottomLeft" activeCell="A2" sqref="A2"/>
      <selection pane="bottomRight" activeCell="N121" sqref="N121"/>
    </sheetView>
  </sheetViews>
  <sheetFormatPr defaultColWidth="8.5546875" defaultRowHeight="14.4" x14ac:dyDescent="0.3"/>
  <sheetData>
    <row r="1" spans="1:21" s="83" customFormat="1" ht="114" x14ac:dyDescent="0.3">
      <c r="A1" s="11" t="s">
        <v>46</v>
      </c>
      <c r="B1" s="11" t="s">
        <v>208</v>
      </c>
      <c r="C1" s="11" t="s">
        <v>209</v>
      </c>
      <c r="D1" s="11" t="s">
        <v>47</v>
      </c>
      <c r="E1" s="11" t="s">
        <v>210</v>
      </c>
      <c r="F1" s="11" t="s">
        <v>282</v>
      </c>
      <c r="G1" s="11" t="s">
        <v>212</v>
      </c>
      <c r="H1" s="11" t="s">
        <v>213</v>
      </c>
      <c r="I1" s="11" t="s">
        <v>214</v>
      </c>
      <c r="J1" s="11" t="s">
        <v>283</v>
      </c>
      <c r="K1" s="11" t="s">
        <v>284</v>
      </c>
      <c r="L1" s="11" t="s">
        <v>285</v>
      </c>
      <c r="M1" s="12" t="s">
        <v>286</v>
      </c>
      <c r="N1" s="11" t="s">
        <v>287</v>
      </c>
      <c r="O1" s="11" t="s">
        <v>288</v>
      </c>
      <c r="P1" s="11" t="s">
        <v>289</v>
      </c>
      <c r="Q1" s="11" t="s">
        <v>290</v>
      </c>
      <c r="R1" s="11" t="s">
        <v>291</v>
      </c>
      <c r="S1" s="11" t="s">
        <v>292</v>
      </c>
      <c r="T1" s="11" t="s">
        <v>293</v>
      </c>
      <c r="U1" s="11" t="s">
        <v>294</v>
      </c>
    </row>
    <row r="2" spans="1:21" s="83" customFormat="1" ht="45.6" x14ac:dyDescent="0.3">
      <c r="A2" s="233">
        <v>12118</v>
      </c>
      <c r="B2" s="233" t="s">
        <v>89</v>
      </c>
      <c r="C2" s="233" t="s">
        <v>83</v>
      </c>
      <c r="D2" s="233">
        <v>3106</v>
      </c>
      <c r="E2" s="233">
        <v>2026</v>
      </c>
      <c r="F2" s="233" t="s">
        <v>275</v>
      </c>
      <c r="G2" s="233">
        <v>2</v>
      </c>
      <c r="H2" s="233">
        <v>6</v>
      </c>
      <c r="I2" s="233" t="s">
        <v>703</v>
      </c>
      <c r="J2" s="234">
        <v>0</v>
      </c>
      <c r="K2" s="235"/>
      <c r="L2" s="236"/>
      <c r="M2" s="236"/>
      <c r="N2" s="234">
        <v>0</v>
      </c>
      <c r="O2" s="235">
        <v>0</v>
      </c>
      <c r="P2" s="236"/>
      <c r="Q2" s="237"/>
      <c r="R2" s="234">
        <v>81900</v>
      </c>
      <c r="S2" s="235">
        <v>0</v>
      </c>
      <c r="T2" s="236" t="s">
        <v>296</v>
      </c>
      <c r="U2" s="236" t="s">
        <v>297</v>
      </c>
    </row>
    <row r="3" spans="1:21" s="83" customFormat="1" ht="45.6" x14ac:dyDescent="0.3">
      <c r="A3" s="238">
        <v>21965</v>
      </c>
      <c r="B3" s="238" t="s">
        <v>207</v>
      </c>
      <c r="C3" s="238" t="s">
        <v>83</v>
      </c>
      <c r="D3" s="238">
        <v>3106</v>
      </c>
      <c r="E3" s="238">
        <v>2026</v>
      </c>
      <c r="F3" s="238" t="s">
        <v>275</v>
      </c>
      <c r="G3" s="238">
        <v>2</v>
      </c>
      <c r="H3" s="238">
        <v>6</v>
      </c>
      <c r="I3" s="238" t="s">
        <v>703</v>
      </c>
      <c r="J3" s="239">
        <v>701097</v>
      </c>
      <c r="K3" s="240">
        <v>7716</v>
      </c>
      <c r="L3" s="241" t="s">
        <v>296</v>
      </c>
      <c r="M3" s="241" t="s">
        <v>297</v>
      </c>
      <c r="N3" s="239">
        <v>664320</v>
      </c>
      <c r="O3" s="240">
        <v>6701</v>
      </c>
      <c r="P3" s="241" t="s">
        <v>296</v>
      </c>
      <c r="Q3" s="237" t="s">
        <v>297</v>
      </c>
      <c r="R3" s="239">
        <v>1102310</v>
      </c>
      <c r="S3" s="240">
        <v>3012</v>
      </c>
      <c r="T3" s="241" t="s">
        <v>296</v>
      </c>
      <c r="U3" s="241" t="s">
        <v>297</v>
      </c>
    </row>
    <row r="4" spans="1:21" s="83" customFormat="1" ht="34.200000000000003" x14ac:dyDescent="0.3">
      <c r="A4" s="233">
        <v>6309</v>
      </c>
      <c r="B4" s="233" t="s">
        <v>86</v>
      </c>
      <c r="C4" s="233" t="s">
        <v>77</v>
      </c>
      <c r="D4" s="233">
        <v>3106</v>
      </c>
      <c r="E4" s="233">
        <v>2026</v>
      </c>
      <c r="F4" s="233" t="s">
        <v>275</v>
      </c>
      <c r="G4" s="233">
        <v>2</v>
      </c>
      <c r="H4" s="233">
        <v>6</v>
      </c>
      <c r="I4" s="233" t="s">
        <v>703</v>
      </c>
      <c r="J4" s="234">
        <v>3823081</v>
      </c>
      <c r="K4" s="235">
        <v>35354</v>
      </c>
      <c r="L4" s="236" t="s">
        <v>296</v>
      </c>
      <c r="M4" s="236" t="s">
        <v>297</v>
      </c>
      <c r="N4" s="234">
        <v>8264403</v>
      </c>
      <c r="O4" s="235">
        <v>58310</v>
      </c>
      <c r="P4" s="236" t="s">
        <v>296</v>
      </c>
      <c r="Q4" s="237" t="s">
        <v>297</v>
      </c>
      <c r="R4" s="234">
        <v>4214554</v>
      </c>
      <c r="S4" s="235">
        <v>7827</v>
      </c>
      <c r="T4" s="236" t="s">
        <v>296</v>
      </c>
      <c r="U4" s="236" t="s">
        <v>297</v>
      </c>
    </row>
    <row r="5" spans="1:21" s="83" customFormat="1" ht="34.200000000000003" x14ac:dyDescent="0.3">
      <c r="A5" s="238">
        <v>8</v>
      </c>
      <c r="B5" s="238" t="s">
        <v>87</v>
      </c>
      <c r="C5" s="238" t="s">
        <v>77</v>
      </c>
      <c r="D5" s="238">
        <v>3106</v>
      </c>
      <c r="E5" s="238">
        <v>2026</v>
      </c>
      <c r="F5" s="238" t="s">
        <v>275</v>
      </c>
      <c r="G5" s="238">
        <v>2</v>
      </c>
      <c r="H5" s="238">
        <v>6</v>
      </c>
      <c r="I5" s="238" t="s">
        <v>703</v>
      </c>
      <c r="J5" s="239">
        <v>112597</v>
      </c>
      <c r="K5" s="240">
        <v>1113</v>
      </c>
      <c r="L5" s="241" t="s">
        <v>296</v>
      </c>
      <c r="M5" s="241" t="s">
        <v>297</v>
      </c>
      <c r="N5" s="239">
        <v>408149</v>
      </c>
      <c r="O5" s="240">
        <v>4512</v>
      </c>
      <c r="P5" s="241" t="s">
        <v>296</v>
      </c>
      <c r="Q5" s="237" t="s">
        <v>297</v>
      </c>
      <c r="R5" s="239">
        <v>236430</v>
      </c>
      <c r="S5" s="240">
        <v>192</v>
      </c>
      <c r="T5" s="241" t="s">
        <v>296</v>
      </c>
      <c r="U5" s="241" t="s">
        <v>297</v>
      </c>
    </row>
    <row r="6" spans="1:21" s="83" customFormat="1" ht="34.200000000000003" x14ac:dyDescent="0.3">
      <c r="A6" s="233">
        <v>11794</v>
      </c>
      <c r="B6" s="233" t="s">
        <v>88</v>
      </c>
      <c r="C6" s="233" t="s">
        <v>83</v>
      </c>
      <c r="D6" s="233">
        <v>3106</v>
      </c>
      <c r="E6" s="233">
        <v>2026</v>
      </c>
      <c r="F6" s="233" t="s">
        <v>275</v>
      </c>
      <c r="G6" s="233">
        <v>2</v>
      </c>
      <c r="H6" s="233">
        <v>6</v>
      </c>
      <c r="I6" s="233" t="s">
        <v>703</v>
      </c>
      <c r="J6" s="234">
        <v>0</v>
      </c>
      <c r="K6" s="235"/>
      <c r="L6" s="236"/>
      <c r="M6" s="236"/>
      <c r="N6" s="234">
        <v>7000</v>
      </c>
      <c r="O6" s="235">
        <v>24</v>
      </c>
      <c r="P6" s="236" t="s">
        <v>296</v>
      </c>
      <c r="Q6" s="237" t="s">
        <v>297</v>
      </c>
      <c r="R6" s="234">
        <v>2085399</v>
      </c>
      <c r="S6" s="235">
        <v>4004</v>
      </c>
      <c r="T6" s="236" t="s">
        <v>296</v>
      </c>
      <c r="U6" s="236" t="s">
        <v>297</v>
      </c>
    </row>
    <row r="7" spans="1:21" s="83" customFormat="1" ht="34.200000000000003" x14ac:dyDescent="0.3">
      <c r="A7" s="238">
        <v>3106</v>
      </c>
      <c r="B7" s="238" t="s">
        <v>84</v>
      </c>
      <c r="C7" s="238" t="s">
        <v>75</v>
      </c>
      <c r="D7" s="238">
        <v>3106</v>
      </c>
      <c r="E7" s="238">
        <v>2026</v>
      </c>
      <c r="F7" s="238" t="s">
        <v>275</v>
      </c>
      <c r="G7" s="238">
        <v>2</v>
      </c>
      <c r="H7" s="238">
        <v>6</v>
      </c>
      <c r="I7" s="238" t="s">
        <v>703</v>
      </c>
      <c r="J7" s="239">
        <v>4636776</v>
      </c>
      <c r="K7" s="240">
        <v>44182</v>
      </c>
      <c r="L7" s="241" t="s">
        <v>296</v>
      </c>
      <c r="M7" s="241" t="s">
        <v>297</v>
      </c>
      <c r="N7" s="239">
        <v>9343873</v>
      </c>
      <c r="O7" s="240">
        <v>69706</v>
      </c>
      <c r="P7" s="241" t="s">
        <v>296</v>
      </c>
      <c r="Q7" s="237" t="s">
        <v>297</v>
      </c>
      <c r="R7" s="239">
        <v>7720593</v>
      </c>
      <c r="S7" s="240">
        <v>15034</v>
      </c>
      <c r="T7" s="241" t="s">
        <v>296</v>
      </c>
      <c r="U7" s="241" t="s">
        <v>297</v>
      </c>
    </row>
    <row r="8" spans="1:21" s="83" customFormat="1" ht="34.200000000000003" x14ac:dyDescent="0.3">
      <c r="A8" s="233">
        <v>3109</v>
      </c>
      <c r="B8" s="233" t="s">
        <v>122</v>
      </c>
      <c r="C8" s="233" t="s">
        <v>75</v>
      </c>
      <c r="D8" s="233">
        <v>3109</v>
      </c>
      <c r="E8" s="233">
        <v>2026</v>
      </c>
      <c r="F8" s="233" t="s">
        <v>275</v>
      </c>
      <c r="G8" s="233">
        <v>2</v>
      </c>
      <c r="H8" s="233">
        <v>6</v>
      </c>
      <c r="I8" s="233" t="s">
        <v>703</v>
      </c>
      <c r="J8" s="234">
        <v>12551289.470000001</v>
      </c>
      <c r="K8" s="235">
        <v>128599.96</v>
      </c>
      <c r="L8" s="236" t="s">
        <v>298</v>
      </c>
      <c r="M8" s="236" t="s">
        <v>299</v>
      </c>
      <c r="N8" s="234">
        <v>11284030</v>
      </c>
      <c r="O8" s="235">
        <v>135371</v>
      </c>
      <c r="P8" s="236" t="s">
        <v>298</v>
      </c>
      <c r="Q8" s="237" t="s">
        <v>299</v>
      </c>
      <c r="R8" s="234">
        <v>0</v>
      </c>
      <c r="S8" s="235">
        <v>0</v>
      </c>
      <c r="T8" s="236"/>
      <c r="U8" s="236"/>
    </row>
    <row r="9" spans="1:21" s="83" customFormat="1" ht="45.6" x14ac:dyDescent="0.3">
      <c r="A9" s="238">
        <v>11810</v>
      </c>
      <c r="B9" s="238" t="s">
        <v>126</v>
      </c>
      <c r="C9" s="238" t="s">
        <v>83</v>
      </c>
      <c r="D9" s="238">
        <v>3109</v>
      </c>
      <c r="E9" s="238">
        <v>2026</v>
      </c>
      <c r="F9" s="238" t="s">
        <v>275</v>
      </c>
      <c r="G9" s="238">
        <v>2</v>
      </c>
      <c r="H9" s="238">
        <v>6</v>
      </c>
      <c r="I9" s="238" t="s">
        <v>703</v>
      </c>
      <c r="J9" s="239">
        <v>84101.25</v>
      </c>
      <c r="K9" s="240">
        <v>954.25</v>
      </c>
      <c r="L9" s="241" t="s">
        <v>298</v>
      </c>
      <c r="M9" s="241" t="s">
        <v>299</v>
      </c>
      <c r="N9" s="239">
        <v>300101.25</v>
      </c>
      <c r="O9" s="240">
        <v>3149</v>
      </c>
      <c r="P9" s="241" t="s">
        <v>298</v>
      </c>
      <c r="Q9" s="237" t="s">
        <v>299</v>
      </c>
      <c r="R9" s="239">
        <v>0</v>
      </c>
      <c r="S9" s="240">
        <v>0</v>
      </c>
      <c r="T9" s="241"/>
      <c r="U9" s="241"/>
    </row>
    <row r="10" spans="1:21" s="83" customFormat="1" ht="34.200000000000003" x14ac:dyDescent="0.3">
      <c r="A10" s="233">
        <v>40</v>
      </c>
      <c r="B10" s="233" t="s">
        <v>125</v>
      </c>
      <c r="C10" s="233" t="s">
        <v>77</v>
      </c>
      <c r="D10" s="233">
        <v>3109</v>
      </c>
      <c r="E10" s="233">
        <v>2026</v>
      </c>
      <c r="F10" s="233" t="s">
        <v>275</v>
      </c>
      <c r="G10" s="233">
        <v>2</v>
      </c>
      <c r="H10" s="233">
        <v>6</v>
      </c>
      <c r="I10" s="233" t="s">
        <v>703</v>
      </c>
      <c r="J10" s="234">
        <v>3522649</v>
      </c>
      <c r="K10" s="235">
        <v>36981</v>
      </c>
      <c r="L10" s="236" t="s">
        <v>298</v>
      </c>
      <c r="M10" s="236" t="s">
        <v>299</v>
      </c>
      <c r="N10" s="234">
        <v>1803348</v>
      </c>
      <c r="O10" s="235">
        <v>20599</v>
      </c>
      <c r="P10" s="236" t="s">
        <v>298</v>
      </c>
      <c r="Q10" s="237" t="s">
        <v>299</v>
      </c>
      <c r="R10" s="234">
        <v>0</v>
      </c>
      <c r="S10" s="235">
        <v>0</v>
      </c>
      <c r="T10" s="236"/>
      <c r="U10" s="236"/>
    </row>
    <row r="11" spans="1:21" s="83" customFormat="1" ht="34.200000000000003" x14ac:dyDescent="0.3">
      <c r="A11" s="238">
        <v>39</v>
      </c>
      <c r="B11" s="238" t="s">
        <v>124</v>
      </c>
      <c r="C11" s="238" t="s">
        <v>77</v>
      </c>
      <c r="D11" s="238">
        <v>3109</v>
      </c>
      <c r="E11" s="238">
        <v>2026</v>
      </c>
      <c r="F11" s="238" t="s">
        <v>275</v>
      </c>
      <c r="G11" s="238">
        <v>2</v>
      </c>
      <c r="H11" s="238">
        <v>6</v>
      </c>
      <c r="I11" s="238" t="s">
        <v>703</v>
      </c>
      <c r="J11" s="239">
        <v>7086353.54</v>
      </c>
      <c r="K11" s="240">
        <v>71321</v>
      </c>
      <c r="L11" s="241" t="s">
        <v>298</v>
      </c>
      <c r="M11" s="241" t="s">
        <v>299</v>
      </c>
      <c r="N11" s="239">
        <v>6707790.3200000003</v>
      </c>
      <c r="O11" s="240">
        <v>79869.899999999994</v>
      </c>
      <c r="P11" s="241" t="s">
        <v>298</v>
      </c>
      <c r="Q11" s="237" t="s">
        <v>299</v>
      </c>
      <c r="R11" s="239">
        <v>0</v>
      </c>
      <c r="S11" s="240">
        <v>0</v>
      </c>
      <c r="T11" s="241"/>
      <c r="U11" s="241"/>
    </row>
    <row r="12" spans="1:21" s="83" customFormat="1" ht="34.200000000000003" x14ac:dyDescent="0.3">
      <c r="A12" s="233">
        <v>9323</v>
      </c>
      <c r="B12" s="233" t="s">
        <v>152</v>
      </c>
      <c r="C12" s="233" t="s">
        <v>83</v>
      </c>
      <c r="D12" s="233">
        <v>3791</v>
      </c>
      <c r="E12" s="233">
        <v>2026</v>
      </c>
      <c r="F12" s="233" t="s">
        <v>275</v>
      </c>
      <c r="G12" s="233">
        <v>2</v>
      </c>
      <c r="H12" s="233">
        <v>6</v>
      </c>
      <c r="I12" s="233" t="s">
        <v>703</v>
      </c>
      <c r="J12" s="234">
        <v>67750</v>
      </c>
      <c r="K12" s="235">
        <v>797</v>
      </c>
      <c r="L12" s="236" t="s">
        <v>298</v>
      </c>
      <c r="M12" s="236"/>
      <c r="N12" s="234">
        <v>0</v>
      </c>
      <c r="O12" s="235">
        <v>0</v>
      </c>
      <c r="P12" s="236" t="s">
        <v>298</v>
      </c>
      <c r="Q12" s="237"/>
      <c r="R12" s="234">
        <v>751957.5</v>
      </c>
      <c r="S12" s="235">
        <v>1580</v>
      </c>
      <c r="T12" s="236" t="s">
        <v>298</v>
      </c>
      <c r="U12" s="236"/>
    </row>
    <row r="13" spans="1:21" s="83" customFormat="1" ht="57" x14ac:dyDescent="0.3">
      <c r="A13" s="238">
        <v>14423</v>
      </c>
      <c r="B13" s="238" t="s">
        <v>153</v>
      </c>
      <c r="C13" s="238" t="s">
        <v>83</v>
      </c>
      <c r="D13" s="238">
        <v>3791</v>
      </c>
      <c r="E13" s="238">
        <v>2026</v>
      </c>
      <c r="F13" s="238" t="s">
        <v>275</v>
      </c>
      <c r="G13" s="238">
        <v>2</v>
      </c>
      <c r="H13" s="238">
        <v>6</v>
      </c>
      <c r="I13" s="238" t="s">
        <v>703</v>
      </c>
      <c r="J13" s="239">
        <v>3330222</v>
      </c>
      <c r="K13" s="240">
        <v>10756.531007751901</v>
      </c>
      <c r="L13" s="241" t="s">
        <v>298</v>
      </c>
      <c r="M13" s="241"/>
      <c r="N13" s="239">
        <v>21423</v>
      </c>
      <c r="O13" s="240">
        <v>944</v>
      </c>
      <c r="P13" s="241" t="s">
        <v>298</v>
      </c>
      <c r="Q13" s="237"/>
      <c r="R13" s="239">
        <v>420694</v>
      </c>
      <c r="S13" s="240">
        <v>1078.70256410256</v>
      </c>
      <c r="T13" s="241" t="s">
        <v>298</v>
      </c>
      <c r="U13" s="241"/>
    </row>
    <row r="14" spans="1:21" s="83" customFormat="1" ht="57" x14ac:dyDescent="0.3">
      <c r="A14" s="233">
        <v>59</v>
      </c>
      <c r="B14" s="233" t="s">
        <v>142</v>
      </c>
      <c r="C14" s="233" t="s">
        <v>77</v>
      </c>
      <c r="D14" s="233">
        <v>3791</v>
      </c>
      <c r="E14" s="233">
        <v>2026</v>
      </c>
      <c r="F14" s="233" t="s">
        <v>275</v>
      </c>
      <c r="G14" s="233">
        <v>2</v>
      </c>
      <c r="H14" s="233">
        <v>6</v>
      </c>
      <c r="I14" s="233" t="s">
        <v>703</v>
      </c>
      <c r="J14" s="234">
        <v>395797.0577</v>
      </c>
      <c r="K14" s="235">
        <v>6148.9844000000003</v>
      </c>
      <c r="L14" s="236" t="s">
        <v>298</v>
      </c>
      <c r="M14" s="236"/>
      <c r="N14" s="234">
        <v>6985868.8629999999</v>
      </c>
      <c r="O14" s="235">
        <v>95038.7932</v>
      </c>
      <c r="P14" s="236" t="s">
        <v>298</v>
      </c>
      <c r="Q14" s="237"/>
      <c r="R14" s="234">
        <v>0</v>
      </c>
      <c r="S14" s="235">
        <v>0</v>
      </c>
      <c r="T14" s="236" t="s">
        <v>298</v>
      </c>
      <c r="U14" s="236"/>
    </row>
    <row r="15" spans="1:21" s="83" customFormat="1" ht="45.6" x14ac:dyDescent="0.3">
      <c r="A15" s="238">
        <v>89</v>
      </c>
      <c r="B15" s="238" t="s">
        <v>146</v>
      </c>
      <c r="C15" s="238" t="s">
        <v>77</v>
      </c>
      <c r="D15" s="238">
        <v>3791</v>
      </c>
      <c r="E15" s="238">
        <v>2026</v>
      </c>
      <c r="F15" s="238" t="s">
        <v>275</v>
      </c>
      <c r="G15" s="238">
        <v>2</v>
      </c>
      <c r="H15" s="238">
        <v>6</v>
      </c>
      <c r="I15" s="238" t="s">
        <v>703</v>
      </c>
      <c r="J15" s="239">
        <v>858390.65</v>
      </c>
      <c r="K15" s="240">
        <v>9448.3778160919592</v>
      </c>
      <c r="L15" s="241" t="s">
        <v>298</v>
      </c>
      <c r="M15" s="241"/>
      <c r="N15" s="239">
        <v>1294855.78</v>
      </c>
      <c r="O15" s="240">
        <v>14612.5085595611</v>
      </c>
      <c r="P15" s="241" t="s">
        <v>298</v>
      </c>
      <c r="Q15" s="237"/>
      <c r="R15" s="239">
        <v>0</v>
      </c>
      <c r="S15" s="240">
        <v>0</v>
      </c>
      <c r="T15" s="241" t="s">
        <v>298</v>
      </c>
      <c r="U15" s="241"/>
    </row>
    <row r="16" spans="1:21" s="83" customFormat="1" ht="34.200000000000003" x14ac:dyDescent="0.3">
      <c r="A16" s="233">
        <v>105</v>
      </c>
      <c r="B16" s="233" t="s">
        <v>149</v>
      </c>
      <c r="C16" s="233" t="s">
        <v>77</v>
      </c>
      <c r="D16" s="233">
        <v>3791</v>
      </c>
      <c r="E16" s="233">
        <v>2026</v>
      </c>
      <c r="F16" s="233" t="s">
        <v>275</v>
      </c>
      <c r="G16" s="233">
        <v>2</v>
      </c>
      <c r="H16" s="233">
        <v>6</v>
      </c>
      <c r="I16" s="233" t="s">
        <v>703</v>
      </c>
      <c r="J16" s="234">
        <v>1274378.06</v>
      </c>
      <c r="K16" s="235">
        <v>13634.219570187801</v>
      </c>
      <c r="L16" s="236" t="s">
        <v>298</v>
      </c>
      <c r="M16" s="236"/>
      <c r="N16" s="234">
        <v>6300658.9000000004</v>
      </c>
      <c r="O16" s="235">
        <v>88295.137917801301</v>
      </c>
      <c r="P16" s="236" t="s">
        <v>298</v>
      </c>
      <c r="Q16" s="237"/>
      <c r="R16" s="234">
        <v>0</v>
      </c>
      <c r="S16" s="235">
        <v>0</v>
      </c>
      <c r="T16" s="236" t="s">
        <v>298</v>
      </c>
      <c r="U16" s="236"/>
    </row>
    <row r="17" spans="1:21" s="83" customFormat="1" ht="57" x14ac:dyDescent="0.3">
      <c r="A17" s="238">
        <v>8644</v>
      </c>
      <c r="B17" s="238" t="s">
        <v>156</v>
      </c>
      <c r="C17" s="238" t="s">
        <v>83</v>
      </c>
      <c r="D17" s="238">
        <v>3791</v>
      </c>
      <c r="E17" s="238">
        <v>2026</v>
      </c>
      <c r="F17" s="238" t="s">
        <v>275</v>
      </c>
      <c r="G17" s="238">
        <v>2</v>
      </c>
      <c r="H17" s="238">
        <v>6</v>
      </c>
      <c r="I17" s="238" t="s">
        <v>703</v>
      </c>
      <c r="J17" s="239">
        <v>0</v>
      </c>
      <c r="K17" s="240">
        <v>0</v>
      </c>
      <c r="L17" s="241" t="s">
        <v>298</v>
      </c>
      <c r="M17" s="241"/>
      <c r="N17" s="239">
        <v>279567.31</v>
      </c>
      <c r="O17" s="240">
        <v>2930.1415674344698</v>
      </c>
      <c r="P17" s="241" t="s">
        <v>298</v>
      </c>
      <c r="Q17" s="237"/>
      <c r="R17" s="239">
        <v>0</v>
      </c>
      <c r="S17" s="240">
        <v>0</v>
      </c>
      <c r="T17" s="241" t="s">
        <v>298</v>
      </c>
      <c r="U17" s="241"/>
    </row>
    <row r="18" spans="1:21" s="83" customFormat="1" ht="45.6" x14ac:dyDescent="0.3">
      <c r="A18" s="233">
        <v>22</v>
      </c>
      <c r="B18" s="233" t="s">
        <v>143</v>
      </c>
      <c r="C18" s="233" t="s">
        <v>77</v>
      </c>
      <c r="D18" s="233">
        <v>3791</v>
      </c>
      <c r="E18" s="233">
        <v>2026</v>
      </c>
      <c r="F18" s="233" t="s">
        <v>275</v>
      </c>
      <c r="G18" s="233">
        <v>2</v>
      </c>
      <c r="H18" s="233">
        <v>6</v>
      </c>
      <c r="I18" s="233" t="s">
        <v>703</v>
      </c>
      <c r="J18" s="234">
        <v>3838878.8678000001</v>
      </c>
      <c r="K18" s="235">
        <v>50366.811040000001</v>
      </c>
      <c r="L18" s="236" t="s">
        <v>298</v>
      </c>
      <c r="M18" s="236"/>
      <c r="N18" s="234">
        <v>15263454.406400001</v>
      </c>
      <c r="O18" s="235">
        <v>185548.97816</v>
      </c>
      <c r="P18" s="236" t="s">
        <v>298</v>
      </c>
      <c r="Q18" s="237"/>
      <c r="R18" s="234">
        <v>0</v>
      </c>
      <c r="S18" s="235">
        <v>0</v>
      </c>
      <c r="T18" s="236" t="s">
        <v>298</v>
      </c>
      <c r="U18" s="236"/>
    </row>
    <row r="19" spans="1:21" s="83" customFormat="1" ht="68.400000000000006" x14ac:dyDescent="0.3">
      <c r="A19" s="238">
        <v>10996</v>
      </c>
      <c r="B19" s="238" t="s">
        <v>151</v>
      </c>
      <c r="C19" s="238" t="s">
        <v>83</v>
      </c>
      <c r="D19" s="238">
        <v>3791</v>
      </c>
      <c r="E19" s="238">
        <v>2026</v>
      </c>
      <c r="F19" s="238" t="s">
        <v>275</v>
      </c>
      <c r="G19" s="238">
        <v>2</v>
      </c>
      <c r="H19" s="238">
        <v>6</v>
      </c>
      <c r="I19" s="238" t="s">
        <v>703</v>
      </c>
      <c r="J19" s="239">
        <v>4739913.59</v>
      </c>
      <c r="K19" s="240">
        <v>18771.935009901001</v>
      </c>
      <c r="L19" s="241" t="s">
        <v>298</v>
      </c>
      <c r="M19" s="241"/>
      <c r="N19" s="239">
        <v>571984.93000000005</v>
      </c>
      <c r="O19" s="240">
        <v>7875.8621999999996</v>
      </c>
      <c r="P19" s="241" t="s">
        <v>298</v>
      </c>
      <c r="Q19" s="237"/>
      <c r="R19" s="239">
        <v>0</v>
      </c>
      <c r="S19" s="240">
        <v>0</v>
      </c>
      <c r="T19" s="241" t="s">
        <v>298</v>
      </c>
      <c r="U19" s="241"/>
    </row>
    <row r="20" spans="1:21" s="83" customFormat="1" ht="45.6" x14ac:dyDescent="0.3">
      <c r="A20" s="233">
        <v>345</v>
      </c>
      <c r="B20" s="233" t="s">
        <v>150</v>
      </c>
      <c r="C20" s="233" t="s">
        <v>77</v>
      </c>
      <c r="D20" s="233">
        <v>3791</v>
      </c>
      <c r="E20" s="233">
        <v>2026</v>
      </c>
      <c r="F20" s="233" t="s">
        <v>275</v>
      </c>
      <c r="G20" s="233">
        <v>2</v>
      </c>
      <c r="H20" s="233">
        <v>6</v>
      </c>
      <c r="I20" s="233" t="s">
        <v>703</v>
      </c>
      <c r="J20" s="234">
        <v>5676902.1699999999</v>
      </c>
      <c r="K20" s="235">
        <v>56509.139997660001</v>
      </c>
      <c r="L20" s="236" t="s">
        <v>298</v>
      </c>
      <c r="M20" s="236"/>
      <c r="N20" s="234">
        <v>3119629.26</v>
      </c>
      <c r="O20" s="235">
        <v>32319.950188260002</v>
      </c>
      <c r="P20" s="236" t="s">
        <v>298</v>
      </c>
      <c r="Q20" s="237"/>
      <c r="R20" s="234">
        <v>0</v>
      </c>
      <c r="S20" s="235">
        <v>0</v>
      </c>
      <c r="T20" s="236" t="s">
        <v>298</v>
      </c>
      <c r="U20" s="236"/>
    </row>
    <row r="21" spans="1:21" s="83" customFormat="1" ht="34.200000000000003" x14ac:dyDescent="0.3">
      <c r="A21" s="238">
        <v>101</v>
      </c>
      <c r="B21" s="238" t="s">
        <v>148</v>
      </c>
      <c r="C21" s="238" t="s">
        <v>77</v>
      </c>
      <c r="D21" s="238">
        <v>3791</v>
      </c>
      <c r="E21" s="238">
        <v>2026</v>
      </c>
      <c r="F21" s="238" t="s">
        <v>275</v>
      </c>
      <c r="G21" s="238">
        <v>2</v>
      </c>
      <c r="H21" s="238">
        <v>6</v>
      </c>
      <c r="I21" s="238" t="s">
        <v>703</v>
      </c>
      <c r="J21" s="239">
        <v>1672397.34</v>
      </c>
      <c r="K21" s="240">
        <v>16271.01666657</v>
      </c>
      <c r="L21" s="241" t="s">
        <v>298</v>
      </c>
      <c r="M21" s="241"/>
      <c r="N21" s="239">
        <v>1750943.5160000001</v>
      </c>
      <c r="O21" s="240">
        <v>18528.216667096702</v>
      </c>
      <c r="P21" s="241" t="s">
        <v>298</v>
      </c>
      <c r="Q21" s="237"/>
      <c r="R21" s="239">
        <v>1035556.26</v>
      </c>
      <c r="S21" s="240">
        <v>4368</v>
      </c>
      <c r="T21" s="241" t="s">
        <v>298</v>
      </c>
      <c r="U21" s="241"/>
    </row>
    <row r="22" spans="1:21" s="83" customFormat="1" ht="45.6" x14ac:dyDescent="0.3">
      <c r="A22" s="233">
        <v>16579</v>
      </c>
      <c r="B22" s="233" t="s">
        <v>155</v>
      </c>
      <c r="C22" s="233" t="s">
        <v>83</v>
      </c>
      <c r="D22" s="233">
        <v>3791</v>
      </c>
      <c r="E22" s="233">
        <v>2026</v>
      </c>
      <c r="F22" s="233" t="s">
        <v>275</v>
      </c>
      <c r="G22" s="233">
        <v>2</v>
      </c>
      <c r="H22" s="233">
        <v>6</v>
      </c>
      <c r="I22" s="233" t="s">
        <v>703</v>
      </c>
      <c r="J22" s="234">
        <v>0</v>
      </c>
      <c r="K22" s="235">
        <v>0</v>
      </c>
      <c r="L22" s="236" t="s">
        <v>298</v>
      </c>
      <c r="M22" s="236"/>
      <c r="N22" s="234">
        <v>0</v>
      </c>
      <c r="O22" s="235">
        <v>0</v>
      </c>
      <c r="P22" s="236" t="s">
        <v>298</v>
      </c>
      <c r="Q22" s="237"/>
      <c r="R22" s="234">
        <v>0</v>
      </c>
      <c r="S22" s="235">
        <v>0</v>
      </c>
      <c r="T22" s="236" t="s">
        <v>298</v>
      </c>
      <c r="U22" s="236"/>
    </row>
    <row r="23" spans="1:21" s="83" customFormat="1" ht="34.200000000000003" x14ac:dyDescent="0.3">
      <c r="A23" s="238">
        <v>91</v>
      </c>
      <c r="B23" s="238" t="s">
        <v>147</v>
      </c>
      <c r="C23" s="238" t="s">
        <v>77</v>
      </c>
      <c r="D23" s="238">
        <v>3791</v>
      </c>
      <c r="E23" s="238">
        <v>2026</v>
      </c>
      <c r="F23" s="238" t="s">
        <v>275</v>
      </c>
      <c r="G23" s="238">
        <v>2</v>
      </c>
      <c r="H23" s="238">
        <v>6</v>
      </c>
      <c r="I23" s="238" t="s">
        <v>703</v>
      </c>
      <c r="J23" s="239">
        <v>5839797.3800000204</v>
      </c>
      <c r="K23" s="240">
        <v>67802.315938995904</v>
      </c>
      <c r="L23" s="241" t="s">
        <v>298</v>
      </c>
      <c r="M23" s="241"/>
      <c r="N23" s="239">
        <v>14959826.859999999</v>
      </c>
      <c r="O23" s="240">
        <v>221724.027165087</v>
      </c>
      <c r="P23" s="241" t="s">
        <v>298</v>
      </c>
      <c r="Q23" s="237"/>
      <c r="R23" s="239">
        <v>0</v>
      </c>
      <c r="S23" s="240">
        <v>0</v>
      </c>
      <c r="T23" s="241" t="s">
        <v>298</v>
      </c>
      <c r="U23" s="241"/>
    </row>
    <row r="24" spans="1:21" s="83" customFormat="1" ht="68.400000000000006" x14ac:dyDescent="0.3">
      <c r="A24" s="233">
        <v>11002</v>
      </c>
      <c r="B24" s="233" t="s">
        <v>154</v>
      </c>
      <c r="C24" s="233" t="s">
        <v>83</v>
      </c>
      <c r="D24" s="233">
        <v>3791</v>
      </c>
      <c r="E24" s="233">
        <v>2026</v>
      </c>
      <c r="F24" s="233" t="s">
        <v>275</v>
      </c>
      <c r="G24" s="233">
        <v>2</v>
      </c>
      <c r="H24" s="233">
        <v>6</v>
      </c>
      <c r="I24" s="233" t="s">
        <v>703</v>
      </c>
      <c r="J24" s="234">
        <v>664274.25</v>
      </c>
      <c r="K24" s="235">
        <v>7666.4865019654699</v>
      </c>
      <c r="L24" s="236" t="s">
        <v>298</v>
      </c>
      <c r="M24" s="236"/>
      <c r="N24" s="234">
        <v>1393070.03</v>
      </c>
      <c r="O24" s="235">
        <v>48967.490091248299</v>
      </c>
      <c r="P24" s="236" t="s">
        <v>298</v>
      </c>
      <c r="Q24" s="237"/>
      <c r="R24" s="234">
        <v>809713.26</v>
      </c>
      <c r="S24" s="235">
        <v>2622.8402285714301</v>
      </c>
      <c r="T24" s="236" t="s">
        <v>298</v>
      </c>
      <c r="U24" s="236"/>
    </row>
    <row r="25" spans="1:21" s="83" customFormat="1" ht="34.200000000000003" x14ac:dyDescent="0.3">
      <c r="A25" s="238">
        <v>50</v>
      </c>
      <c r="B25" s="238" t="s">
        <v>144</v>
      </c>
      <c r="C25" s="238" t="s">
        <v>77</v>
      </c>
      <c r="D25" s="238">
        <v>3791</v>
      </c>
      <c r="E25" s="238">
        <v>2026</v>
      </c>
      <c r="F25" s="238" t="s">
        <v>275</v>
      </c>
      <c r="G25" s="238">
        <v>2</v>
      </c>
      <c r="H25" s="238">
        <v>6</v>
      </c>
      <c r="I25" s="238" t="s">
        <v>703</v>
      </c>
      <c r="J25" s="239">
        <v>1653065.1120507601</v>
      </c>
      <c r="K25" s="240">
        <v>18424.7866666667</v>
      </c>
      <c r="L25" s="241" t="s">
        <v>298</v>
      </c>
      <c r="M25" s="241"/>
      <c r="N25" s="239">
        <v>1264884.17430248</v>
      </c>
      <c r="O25" s="240">
        <v>13635.0933333333</v>
      </c>
      <c r="P25" s="241" t="s">
        <v>298</v>
      </c>
      <c r="Q25" s="237"/>
      <c r="R25" s="239">
        <v>95528.28</v>
      </c>
      <c r="S25" s="240">
        <v>163.5</v>
      </c>
      <c r="T25" s="241" t="s">
        <v>298</v>
      </c>
      <c r="U25" s="241"/>
    </row>
    <row r="26" spans="1:21" s="83" customFormat="1" ht="34.200000000000003" x14ac:dyDescent="0.3">
      <c r="A26" s="233">
        <v>88</v>
      </c>
      <c r="B26" s="233" t="s">
        <v>145</v>
      </c>
      <c r="C26" s="233" t="s">
        <v>77</v>
      </c>
      <c r="D26" s="233">
        <v>3791</v>
      </c>
      <c r="E26" s="233">
        <v>2026</v>
      </c>
      <c r="F26" s="233" t="s">
        <v>275</v>
      </c>
      <c r="G26" s="233">
        <v>2</v>
      </c>
      <c r="H26" s="233">
        <v>6</v>
      </c>
      <c r="I26" s="233" t="s">
        <v>703</v>
      </c>
      <c r="J26" s="234">
        <v>2141447.0099999998</v>
      </c>
      <c r="K26" s="235">
        <v>23529.186666666701</v>
      </c>
      <c r="L26" s="236" t="s">
        <v>298</v>
      </c>
      <c r="M26" s="236"/>
      <c r="N26" s="234">
        <v>3142985.65</v>
      </c>
      <c r="O26" s="235">
        <v>34917.6933333333</v>
      </c>
      <c r="P26" s="236" t="s">
        <v>298</v>
      </c>
      <c r="Q26" s="237"/>
      <c r="R26" s="234">
        <v>339342.15</v>
      </c>
      <c r="S26" s="235">
        <v>853.5</v>
      </c>
      <c r="T26" s="236" t="s">
        <v>298</v>
      </c>
      <c r="U26" s="236"/>
    </row>
    <row r="27" spans="1:21" s="83" customFormat="1" ht="34.200000000000003" x14ac:dyDescent="0.3">
      <c r="A27" s="238">
        <v>3791</v>
      </c>
      <c r="B27" s="238" t="s">
        <v>141</v>
      </c>
      <c r="C27" s="238" t="s">
        <v>75</v>
      </c>
      <c r="D27" s="238">
        <v>3791</v>
      </c>
      <c r="E27" s="238">
        <v>2026</v>
      </c>
      <c r="F27" s="238" t="s">
        <v>275</v>
      </c>
      <c r="G27" s="238">
        <v>2</v>
      </c>
      <c r="H27" s="238">
        <v>6</v>
      </c>
      <c r="I27" s="238" t="s">
        <v>703</v>
      </c>
      <c r="J27" s="239">
        <v>34003632.447550803</v>
      </c>
      <c r="K27" s="240">
        <v>321168.70557623397</v>
      </c>
      <c r="L27" s="241" t="s">
        <v>298</v>
      </c>
      <c r="M27" s="241"/>
      <c r="N27" s="239">
        <v>59199581.519702502</v>
      </c>
      <c r="O27" s="240">
        <v>800223.53455742495</v>
      </c>
      <c r="P27" s="241" t="s">
        <v>298</v>
      </c>
      <c r="Q27" s="237"/>
      <c r="R27" s="239">
        <v>8624448.716</v>
      </c>
      <c r="S27" s="240">
        <v>22806.074149816901</v>
      </c>
      <c r="T27" s="241" t="s">
        <v>298</v>
      </c>
      <c r="U27" s="241"/>
    </row>
    <row r="28" spans="1:21" s="83" customFormat="1" ht="57" x14ac:dyDescent="0.3">
      <c r="A28" s="233">
        <v>8745</v>
      </c>
      <c r="B28" s="233" t="s">
        <v>158</v>
      </c>
      <c r="C28" s="233" t="s">
        <v>83</v>
      </c>
      <c r="D28" s="233">
        <v>3791</v>
      </c>
      <c r="E28" s="233">
        <v>2026</v>
      </c>
      <c r="F28" s="233" t="s">
        <v>275</v>
      </c>
      <c r="G28" s="233">
        <v>2</v>
      </c>
      <c r="H28" s="233">
        <v>6</v>
      </c>
      <c r="I28" s="233" t="s">
        <v>703</v>
      </c>
      <c r="J28" s="234">
        <v>0</v>
      </c>
      <c r="K28" s="235">
        <v>0</v>
      </c>
      <c r="L28" s="236" t="s">
        <v>298</v>
      </c>
      <c r="M28" s="236"/>
      <c r="N28" s="234">
        <v>68841.95</v>
      </c>
      <c r="O28" s="235">
        <v>1721.0487499999999</v>
      </c>
      <c r="P28" s="236" t="s">
        <v>298</v>
      </c>
      <c r="Q28" s="237"/>
      <c r="R28" s="234">
        <v>0</v>
      </c>
      <c r="S28" s="235">
        <v>0</v>
      </c>
      <c r="T28" s="236" t="s">
        <v>298</v>
      </c>
      <c r="U28" s="236"/>
    </row>
    <row r="29" spans="1:21" s="83" customFormat="1" ht="45.6" x14ac:dyDescent="0.3">
      <c r="A29" s="238">
        <v>11004</v>
      </c>
      <c r="B29" s="238" t="s">
        <v>157</v>
      </c>
      <c r="C29" s="238" t="s">
        <v>83</v>
      </c>
      <c r="D29" s="238">
        <v>3791</v>
      </c>
      <c r="E29" s="238">
        <v>2026</v>
      </c>
      <c r="F29" s="238" t="s">
        <v>275</v>
      </c>
      <c r="G29" s="238">
        <v>2</v>
      </c>
      <c r="H29" s="238">
        <v>6</v>
      </c>
      <c r="I29" s="238" t="s">
        <v>703</v>
      </c>
      <c r="J29" s="239">
        <v>37394.07</v>
      </c>
      <c r="K29" s="240">
        <v>672.77599999999995</v>
      </c>
      <c r="L29" s="241" t="s">
        <v>298</v>
      </c>
      <c r="M29" s="241"/>
      <c r="N29" s="239">
        <v>72936.149999999994</v>
      </c>
      <c r="O29" s="240">
        <v>835.74400000000003</v>
      </c>
      <c r="P29" s="241" t="s">
        <v>298</v>
      </c>
      <c r="Q29" s="237"/>
      <c r="R29" s="239">
        <v>2275953.2999999998</v>
      </c>
      <c r="S29" s="240">
        <v>7586.5110000000004</v>
      </c>
      <c r="T29" s="241" t="s">
        <v>298</v>
      </c>
      <c r="U29" s="241"/>
    </row>
    <row r="30" spans="1:21" s="83" customFormat="1" ht="34.200000000000003" x14ac:dyDescent="0.3">
      <c r="A30" s="233">
        <v>11394</v>
      </c>
      <c r="B30" s="233" t="s">
        <v>616</v>
      </c>
      <c r="C30" s="233" t="s">
        <v>83</v>
      </c>
      <c r="D30" s="233">
        <v>3888</v>
      </c>
      <c r="E30" s="233">
        <v>2026</v>
      </c>
      <c r="F30" s="233" t="s">
        <v>630</v>
      </c>
      <c r="G30" s="233">
        <v>1</v>
      </c>
      <c r="H30" s="233">
        <v>3</v>
      </c>
      <c r="I30" s="233" t="s">
        <v>704</v>
      </c>
      <c r="J30" s="234">
        <v>0</v>
      </c>
      <c r="K30" s="235"/>
      <c r="L30" s="236"/>
      <c r="M30" s="236"/>
      <c r="N30" s="234">
        <v>354797</v>
      </c>
      <c r="O30" s="235">
        <v>0</v>
      </c>
      <c r="P30" s="236" t="s">
        <v>298</v>
      </c>
      <c r="Q30" s="237"/>
      <c r="R30" s="234">
        <v>0</v>
      </c>
      <c r="S30" s="235">
        <v>0</v>
      </c>
      <c r="T30" s="236"/>
      <c r="U30" s="236"/>
    </row>
    <row r="31" spans="1:21" s="83" customFormat="1" ht="34.200000000000003" x14ac:dyDescent="0.3">
      <c r="A31" s="238">
        <v>3110</v>
      </c>
      <c r="B31" s="238" t="s">
        <v>508</v>
      </c>
      <c r="C31" s="238" t="s">
        <v>77</v>
      </c>
      <c r="D31" s="238">
        <v>3888</v>
      </c>
      <c r="E31" s="238">
        <v>2026</v>
      </c>
      <c r="F31" s="238" t="s">
        <v>630</v>
      </c>
      <c r="G31" s="238">
        <v>1</v>
      </c>
      <c r="H31" s="238">
        <v>3</v>
      </c>
      <c r="I31" s="238" t="s">
        <v>704</v>
      </c>
      <c r="J31" s="239">
        <v>332712.99</v>
      </c>
      <c r="K31" s="240">
        <v>3500</v>
      </c>
      <c r="L31" s="241" t="s">
        <v>298</v>
      </c>
      <c r="M31" s="241"/>
      <c r="N31" s="239">
        <v>218021.21</v>
      </c>
      <c r="O31" s="240">
        <v>2372.0500000000002</v>
      </c>
      <c r="P31" s="241" t="s">
        <v>298</v>
      </c>
      <c r="Q31" s="237"/>
      <c r="R31" s="239">
        <v>124697</v>
      </c>
      <c r="S31" s="240">
        <v>0</v>
      </c>
      <c r="T31" s="241" t="s">
        <v>296</v>
      </c>
      <c r="U31" s="241"/>
    </row>
    <row r="32" spans="1:21" s="83" customFormat="1" ht="34.200000000000003" x14ac:dyDescent="0.3">
      <c r="A32" s="233">
        <v>127</v>
      </c>
      <c r="B32" s="233" t="s">
        <v>542</v>
      </c>
      <c r="C32" s="233" t="s">
        <v>77</v>
      </c>
      <c r="D32" s="233">
        <v>3888</v>
      </c>
      <c r="E32" s="233">
        <v>2026</v>
      </c>
      <c r="F32" s="233" t="s">
        <v>630</v>
      </c>
      <c r="G32" s="233">
        <v>1</v>
      </c>
      <c r="H32" s="233">
        <v>3</v>
      </c>
      <c r="I32" s="233" t="s">
        <v>704</v>
      </c>
      <c r="J32" s="234">
        <v>762125.88</v>
      </c>
      <c r="K32" s="235">
        <v>6815.5</v>
      </c>
      <c r="L32" s="236" t="s">
        <v>298</v>
      </c>
      <c r="M32" s="236"/>
      <c r="N32" s="234">
        <v>501997.94</v>
      </c>
      <c r="O32" s="235">
        <v>4395.75</v>
      </c>
      <c r="P32" s="236" t="s">
        <v>298</v>
      </c>
      <c r="Q32" s="237"/>
      <c r="R32" s="234">
        <v>943038.08</v>
      </c>
      <c r="S32" s="235">
        <v>0</v>
      </c>
      <c r="T32" s="236" t="s">
        <v>296</v>
      </c>
      <c r="U32" s="236"/>
    </row>
    <row r="33" spans="1:21" s="83" customFormat="1" ht="45.6" x14ac:dyDescent="0.3">
      <c r="A33" s="238">
        <v>14427</v>
      </c>
      <c r="B33" s="238" t="s">
        <v>617</v>
      </c>
      <c r="C33" s="238" t="s">
        <v>83</v>
      </c>
      <c r="D33" s="238">
        <v>3888</v>
      </c>
      <c r="E33" s="238">
        <v>2026</v>
      </c>
      <c r="F33" s="238" t="s">
        <v>630</v>
      </c>
      <c r="G33" s="238">
        <v>1</v>
      </c>
      <c r="H33" s="238">
        <v>3</v>
      </c>
      <c r="I33" s="238" t="s">
        <v>704</v>
      </c>
      <c r="J33" s="239">
        <v>0</v>
      </c>
      <c r="K33" s="240"/>
      <c r="L33" s="241"/>
      <c r="M33" s="241"/>
      <c r="N33" s="239">
        <v>-2731</v>
      </c>
      <c r="O33" s="240">
        <v>0</v>
      </c>
      <c r="P33" s="241" t="s">
        <v>298</v>
      </c>
      <c r="Q33" s="237"/>
      <c r="R33" s="239">
        <v>0</v>
      </c>
      <c r="S33" s="240">
        <v>0</v>
      </c>
      <c r="T33" s="241"/>
      <c r="U33" s="241"/>
    </row>
    <row r="34" spans="1:21" s="83" customFormat="1" ht="45.6" x14ac:dyDescent="0.3">
      <c r="A34" s="233">
        <v>3888</v>
      </c>
      <c r="B34" s="233" t="s">
        <v>615</v>
      </c>
      <c r="C34" s="233" t="s">
        <v>75</v>
      </c>
      <c r="D34" s="233">
        <v>3888</v>
      </c>
      <c r="E34" s="233">
        <v>2026</v>
      </c>
      <c r="F34" s="233" t="s">
        <v>630</v>
      </c>
      <c r="G34" s="233">
        <v>1</v>
      </c>
      <c r="H34" s="233">
        <v>3</v>
      </c>
      <c r="I34" s="233" t="s">
        <v>704</v>
      </c>
      <c r="J34" s="234">
        <v>1094838.8700000001</v>
      </c>
      <c r="K34" s="235">
        <v>10315.5</v>
      </c>
      <c r="L34" s="236" t="s">
        <v>298</v>
      </c>
      <c r="M34" s="236"/>
      <c r="N34" s="234">
        <v>1072085.1499999999</v>
      </c>
      <c r="O34" s="235">
        <v>6767.8</v>
      </c>
      <c r="P34" s="236" t="s">
        <v>298</v>
      </c>
      <c r="Q34" s="237"/>
      <c r="R34" s="234">
        <v>1067735.08</v>
      </c>
      <c r="S34" s="235">
        <v>0</v>
      </c>
      <c r="T34" s="236" t="s">
        <v>296</v>
      </c>
      <c r="U34" s="236"/>
    </row>
    <row r="35" spans="1:21" s="83" customFormat="1" ht="45.6" x14ac:dyDescent="0.3">
      <c r="A35" s="238">
        <v>3113</v>
      </c>
      <c r="B35" s="238" t="s">
        <v>171</v>
      </c>
      <c r="C35" s="238" t="s">
        <v>77</v>
      </c>
      <c r="D35" s="238">
        <v>4027</v>
      </c>
      <c r="E35" s="238">
        <v>2026</v>
      </c>
      <c r="F35" s="238" t="s">
        <v>275</v>
      </c>
      <c r="G35" s="238">
        <v>2</v>
      </c>
      <c r="H35" s="238">
        <v>6</v>
      </c>
      <c r="I35" s="238" t="s">
        <v>703</v>
      </c>
      <c r="J35" s="239">
        <v>4843380.0099999905</v>
      </c>
      <c r="K35" s="240">
        <v>43561.97</v>
      </c>
      <c r="L35" s="241" t="s">
        <v>298</v>
      </c>
      <c r="M35" s="241" t="s">
        <v>631</v>
      </c>
      <c r="N35" s="239">
        <v>494771.86031687498</v>
      </c>
      <c r="O35" s="240">
        <v>5607.39</v>
      </c>
      <c r="P35" s="241" t="s">
        <v>298</v>
      </c>
      <c r="Q35" s="237" t="s">
        <v>631</v>
      </c>
      <c r="R35" s="239">
        <v>5411947.5999999996</v>
      </c>
      <c r="S35" s="240">
        <v>25480.570959192901</v>
      </c>
      <c r="T35" s="241" t="s">
        <v>296</v>
      </c>
      <c r="U35" s="241" t="s">
        <v>304</v>
      </c>
    </row>
    <row r="36" spans="1:21" s="83" customFormat="1" ht="45.6" x14ac:dyDescent="0.3">
      <c r="A36" s="233">
        <v>4027</v>
      </c>
      <c r="B36" s="233" t="s">
        <v>170</v>
      </c>
      <c r="C36" s="233" t="s">
        <v>75</v>
      </c>
      <c r="D36" s="233">
        <v>4027</v>
      </c>
      <c r="E36" s="233">
        <v>2026</v>
      </c>
      <c r="F36" s="233" t="s">
        <v>275</v>
      </c>
      <c r="G36" s="233">
        <v>2</v>
      </c>
      <c r="H36" s="233">
        <v>6</v>
      </c>
      <c r="I36" s="233" t="s">
        <v>703</v>
      </c>
      <c r="J36" s="234">
        <v>4855393.9099999899</v>
      </c>
      <c r="K36" s="235">
        <v>43688.4321052632</v>
      </c>
      <c r="L36" s="236" t="s">
        <v>298</v>
      </c>
      <c r="M36" s="236" t="s">
        <v>631</v>
      </c>
      <c r="N36" s="234">
        <v>779426.06031687499</v>
      </c>
      <c r="O36" s="235">
        <v>8502.3202777777806</v>
      </c>
      <c r="P36" s="236" t="s">
        <v>298</v>
      </c>
      <c r="Q36" s="237" t="s">
        <v>631</v>
      </c>
      <c r="R36" s="234">
        <v>11511868.029999999</v>
      </c>
      <c r="S36" s="235">
        <v>36966.682062640299</v>
      </c>
      <c r="T36" s="236" t="s">
        <v>296</v>
      </c>
      <c r="U36" s="236" t="s">
        <v>304</v>
      </c>
    </row>
    <row r="37" spans="1:21" s="83" customFormat="1" ht="45.6" x14ac:dyDescent="0.3">
      <c r="A37" s="238">
        <v>11497</v>
      </c>
      <c r="B37" s="238" t="s">
        <v>172</v>
      </c>
      <c r="C37" s="238" t="s">
        <v>83</v>
      </c>
      <c r="D37" s="238">
        <v>4027</v>
      </c>
      <c r="E37" s="238">
        <v>2026</v>
      </c>
      <c r="F37" s="238" t="s">
        <v>275</v>
      </c>
      <c r="G37" s="238">
        <v>2</v>
      </c>
      <c r="H37" s="238">
        <v>6</v>
      </c>
      <c r="I37" s="238" t="s">
        <v>703</v>
      </c>
      <c r="J37" s="239">
        <v>0</v>
      </c>
      <c r="K37" s="240">
        <v>0</v>
      </c>
      <c r="L37" s="241" t="s">
        <v>298</v>
      </c>
      <c r="M37" s="241" t="s">
        <v>631</v>
      </c>
      <c r="N37" s="239">
        <v>284654.2</v>
      </c>
      <c r="O37" s="240">
        <v>2894.9302777777798</v>
      </c>
      <c r="P37" s="241" t="s">
        <v>298</v>
      </c>
      <c r="Q37" s="237" t="s">
        <v>631</v>
      </c>
      <c r="R37" s="239">
        <v>6099920.4299999997</v>
      </c>
      <c r="S37" s="240">
        <v>11486.1111034474</v>
      </c>
      <c r="T37" s="241" t="s">
        <v>296</v>
      </c>
      <c r="U37" s="241" t="s">
        <v>304</v>
      </c>
    </row>
    <row r="38" spans="1:21" s="83" customFormat="1" ht="45.6" x14ac:dyDescent="0.3">
      <c r="A38" s="233">
        <v>6755</v>
      </c>
      <c r="B38" s="233" t="s">
        <v>197</v>
      </c>
      <c r="C38" s="233" t="s">
        <v>75</v>
      </c>
      <c r="D38" s="233">
        <v>6755</v>
      </c>
      <c r="E38" s="233">
        <v>2026</v>
      </c>
      <c r="F38" s="233" t="s">
        <v>275</v>
      </c>
      <c r="G38" s="233">
        <v>2</v>
      </c>
      <c r="H38" s="233">
        <v>6</v>
      </c>
      <c r="I38" s="233" t="s">
        <v>703</v>
      </c>
      <c r="J38" s="234">
        <v>1350</v>
      </c>
      <c r="K38" s="235">
        <v>17</v>
      </c>
      <c r="L38" s="236"/>
      <c r="M38" s="236"/>
      <c r="N38" s="234">
        <v>210155.23</v>
      </c>
      <c r="O38" s="235">
        <v>2024.25</v>
      </c>
      <c r="P38" s="236"/>
      <c r="Q38" s="237"/>
      <c r="R38" s="234">
        <v>0</v>
      </c>
      <c r="S38" s="235">
        <v>0</v>
      </c>
      <c r="T38" s="236"/>
      <c r="U38" s="236"/>
    </row>
    <row r="39" spans="1:21" s="83" customFormat="1" ht="34.200000000000003" x14ac:dyDescent="0.3">
      <c r="A39" s="238">
        <v>68</v>
      </c>
      <c r="B39" s="238" t="s">
        <v>198</v>
      </c>
      <c r="C39" s="238" t="s">
        <v>77</v>
      </c>
      <c r="D39" s="238">
        <v>6755</v>
      </c>
      <c r="E39" s="238">
        <v>2026</v>
      </c>
      <c r="F39" s="238" t="s">
        <v>275</v>
      </c>
      <c r="G39" s="238">
        <v>2</v>
      </c>
      <c r="H39" s="238">
        <v>6</v>
      </c>
      <c r="I39" s="238" t="s">
        <v>703</v>
      </c>
      <c r="J39" s="239">
        <v>568428.68999999994</v>
      </c>
      <c r="K39" s="240">
        <v>5816.36</v>
      </c>
      <c r="L39" s="241"/>
      <c r="M39" s="241"/>
      <c r="N39" s="239">
        <v>268338.53999999998</v>
      </c>
      <c r="O39" s="240">
        <v>2942.41</v>
      </c>
      <c r="P39" s="241"/>
      <c r="Q39" s="237"/>
      <c r="R39" s="239">
        <v>0</v>
      </c>
      <c r="S39" s="240">
        <v>0</v>
      </c>
      <c r="T39" s="241"/>
      <c r="U39" s="241"/>
    </row>
    <row r="40" spans="1:21" s="83" customFormat="1" ht="45.6" x14ac:dyDescent="0.3">
      <c r="A40" s="233">
        <v>97</v>
      </c>
      <c r="B40" s="233" t="s">
        <v>159</v>
      </c>
      <c r="C40" s="233" t="s">
        <v>83</v>
      </c>
      <c r="D40" s="233">
        <v>6755</v>
      </c>
      <c r="E40" s="233">
        <v>2026</v>
      </c>
      <c r="F40" s="233" t="s">
        <v>275</v>
      </c>
      <c r="G40" s="233">
        <v>2</v>
      </c>
      <c r="H40" s="233">
        <v>6</v>
      </c>
      <c r="I40" s="233" t="s">
        <v>703</v>
      </c>
      <c r="J40" s="234">
        <v>680825.31</v>
      </c>
      <c r="K40" s="235">
        <v>6632.63</v>
      </c>
      <c r="L40" s="236"/>
      <c r="M40" s="236"/>
      <c r="N40" s="234">
        <v>968718.65</v>
      </c>
      <c r="O40" s="235">
        <v>11856.73</v>
      </c>
      <c r="P40" s="236"/>
      <c r="Q40" s="237"/>
      <c r="R40" s="234">
        <v>0</v>
      </c>
      <c r="S40" s="235">
        <v>0</v>
      </c>
      <c r="T40" s="236"/>
      <c r="U40" s="236"/>
    </row>
    <row r="41" spans="1:21" s="83" customFormat="1" ht="45.6" x14ac:dyDescent="0.3">
      <c r="A41" s="238">
        <v>3115</v>
      </c>
      <c r="B41" s="238" t="s">
        <v>201</v>
      </c>
      <c r="C41" s="238" t="s">
        <v>77</v>
      </c>
      <c r="D41" s="238">
        <v>6755</v>
      </c>
      <c r="E41" s="238">
        <v>2026</v>
      </c>
      <c r="F41" s="238" t="s">
        <v>275</v>
      </c>
      <c r="G41" s="238">
        <v>2</v>
      </c>
      <c r="H41" s="238">
        <v>6</v>
      </c>
      <c r="I41" s="238" t="s">
        <v>703</v>
      </c>
      <c r="J41" s="239">
        <v>10950199.779999999</v>
      </c>
      <c r="K41" s="240">
        <v>102733.3</v>
      </c>
      <c r="L41" s="241"/>
      <c r="M41" s="241"/>
      <c r="N41" s="239">
        <v>6033793</v>
      </c>
      <c r="O41" s="240">
        <v>82332.33</v>
      </c>
      <c r="P41" s="241"/>
      <c r="Q41" s="237"/>
      <c r="R41" s="239">
        <v>0</v>
      </c>
      <c r="S41" s="240">
        <v>0</v>
      </c>
      <c r="T41" s="241"/>
      <c r="U41" s="241"/>
    </row>
    <row r="42" spans="1:21" s="83" customFormat="1" ht="45.6" x14ac:dyDescent="0.3">
      <c r="A42" s="233">
        <v>9784</v>
      </c>
      <c r="B42" s="233" t="s">
        <v>202</v>
      </c>
      <c r="C42" s="233" t="s">
        <v>83</v>
      </c>
      <c r="D42" s="233">
        <v>6755</v>
      </c>
      <c r="E42" s="233">
        <v>2026</v>
      </c>
      <c r="F42" s="233" t="s">
        <v>275</v>
      </c>
      <c r="G42" s="233">
        <v>2</v>
      </c>
      <c r="H42" s="233">
        <v>6</v>
      </c>
      <c r="I42" s="233" t="s">
        <v>703</v>
      </c>
      <c r="J42" s="234">
        <v>0</v>
      </c>
      <c r="K42" s="235">
        <v>0</v>
      </c>
      <c r="L42" s="236"/>
      <c r="M42" s="236"/>
      <c r="N42" s="234">
        <v>41335.279999999999</v>
      </c>
      <c r="O42" s="235">
        <v>569.34</v>
      </c>
      <c r="P42" s="236"/>
      <c r="Q42" s="237"/>
      <c r="R42" s="234">
        <v>0</v>
      </c>
      <c r="S42" s="235">
        <v>0</v>
      </c>
      <c r="T42" s="236"/>
      <c r="U42" s="236"/>
    </row>
    <row r="43" spans="1:21" s="83" customFormat="1" ht="34.200000000000003" x14ac:dyDescent="0.3">
      <c r="A43" s="238">
        <v>133</v>
      </c>
      <c r="B43" s="238" t="s">
        <v>200</v>
      </c>
      <c r="C43" s="238" t="s">
        <v>77</v>
      </c>
      <c r="D43" s="238">
        <v>6755</v>
      </c>
      <c r="E43" s="238">
        <v>2026</v>
      </c>
      <c r="F43" s="238" t="s">
        <v>275</v>
      </c>
      <c r="G43" s="238">
        <v>2</v>
      </c>
      <c r="H43" s="238">
        <v>6</v>
      </c>
      <c r="I43" s="238" t="s">
        <v>703</v>
      </c>
      <c r="J43" s="239">
        <v>1130177.29</v>
      </c>
      <c r="K43" s="240">
        <v>10474.5</v>
      </c>
      <c r="L43" s="241"/>
      <c r="M43" s="241"/>
      <c r="N43" s="239">
        <v>628203.63</v>
      </c>
      <c r="O43" s="240">
        <v>9418.75</v>
      </c>
      <c r="P43" s="241"/>
      <c r="Q43" s="237"/>
      <c r="R43" s="239">
        <v>0</v>
      </c>
      <c r="S43" s="240">
        <v>0</v>
      </c>
      <c r="T43" s="241"/>
      <c r="U43" s="241"/>
    </row>
    <row r="44" spans="1:21" s="83" customFormat="1" ht="34.200000000000003" x14ac:dyDescent="0.3">
      <c r="A44" s="233">
        <v>14496</v>
      </c>
      <c r="B44" s="233" t="s">
        <v>199</v>
      </c>
      <c r="C44" s="233" t="s">
        <v>77</v>
      </c>
      <c r="D44" s="233">
        <v>6755</v>
      </c>
      <c r="E44" s="233">
        <v>2026</v>
      </c>
      <c r="F44" s="233" t="s">
        <v>275</v>
      </c>
      <c r="G44" s="233">
        <v>2</v>
      </c>
      <c r="H44" s="233">
        <v>6</v>
      </c>
      <c r="I44" s="233" t="s">
        <v>703</v>
      </c>
      <c r="J44" s="234">
        <v>3237532.16</v>
      </c>
      <c r="K44" s="235">
        <v>30358</v>
      </c>
      <c r="L44" s="236"/>
      <c r="M44" s="236"/>
      <c r="N44" s="234">
        <v>2518231.62</v>
      </c>
      <c r="O44" s="235">
        <v>28691.17</v>
      </c>
      <c r="P44" s="236"/>
      <c r="Q44" s="237"/>
      <c r="R44" s="234">
        <v>0</v>
      </c>
      <c r="S44" s="235">
        <v>0</v>
      </c>
      <c r="T44" s="236"/>
      <c r="U44" s="236"/>
    </row>
    <row r="45" spans="1:21" s="83" customFormat="1" ht="45.6" x14ac:dyDescent="0.3">
      <c r="A45" s="238">
        <v>10327</v>
      </c>
      <c r="B45" s="238" t="s">
        <v>165</v>
      </c>
      <c r="C45" s="238" t="s">
        <v>83</v>
      </c>
      <c r="D45" s="238">
        <v>9991</v>
      </c>
      <c r="E45" s="238">
        <v>2026</v>
      </c>
      <c r="F45" s="238" t="s">
        <v>275</v>
      </c>
      <c r="G45" s="238">
        <v>2</v>
      </c>
      <c r="H45" s="238">
        <v>6</v>
      </c>
      <c r="I45" s="238" t="s">
        <v>703</v>
      </c>
      <c r="J45" s="239">
        <v>0</v>
      </c>
      <c r="K45" s="240">
        <v>0</v>
      </c>
      <c r="L45" s="241" t="s">
        <v>296</v>
      </c>
      <c r="M45" s="241" t="s">
        <v>304</v>
      </c>
      <c r="N45" s="239">
        <v>0</v>
      </c>
      <c r="O45" s="240">
        <v>0</v>
      </c>
      <c r="P45" s="241" t="s">
        <v>296</v>
      </c>
      <c r="Q45" s="237" t="s">
        <v>304</v>
      </c>
      <c r="R45" s="239">
        <v>6450359</v>
      </c>
      <c r="S45" s="240">
        <v>30001.67</v>
      </c>
      <c r="T45" s="241" t="s">
        <v>298</v>
      </c>
      <c r="U45" s="241" t="s">
        <v>305</v>
      </c>
    </row>
    <row r="46" spans="1:21" s="83" customFormat="1" ht="45.6" x14ac:dyDescent="0.3">
      <c r="A46" s="233">
        <v>25</v>
      </c>
      <c r="B46" s="233" t="s">
        <v>164</v>
      </c>
      <c r="C46" s="233" t="s">
        <v>77</v>
      </c>
      <c r="D46" s="233">
        <v>9991</v>
      </c>
      <c r="E46" s="233">
        <v>2026</v>
      </c>
      <c r="F46" s="233" t="s">
        <v>275</v>
      </c>
      <c r="G46" s="233">
        <v>2</v>
      </c>
      <c r="H46" s="233">
        <v>6</v>
      </c>
      <c r="I46" s="233" t="s">
        <v>703</v>
      </c>
      <c r="J46" s="234">
        <v>7841007.4800000004</v>
      </c>
      <c r="K46" s="235">
        <v>58514.98</v>
      </c>
      <c r="L46" s="236" t="s">
        <v>296</v>
      </c>
      <c r="M46" s="236" t="s">
        <v>304</v>
      </c>
      <c r="N46" s="234">
        <v>1011362.79</v>
      </c>
      <c r="O46" s="235">
        <v>8794.4599999999991</v>
      </c>
      <c r="P46" s="236" t="s">
        <v>296</v>
      </c>
      <c r="Q46" s="237" t="s">
        <v>304</v>
      </c>
      <c r="R46" s="234">
        <v>18528694</v>
      </c>
      <c r="S46" s="235">
        <v>86179.97</v>
      </c>
      <c r="T46" s="236" t="s">
        <v>298</v>
      </c>
      <c r="U46" s="236" t="s">
        <v>305</v>
      </c>
    </row>
    <row r="47" spans="1:21" s="83" customFormat="1" ht="45.6" x14ac:dyDescent="0.3">
      <c r="A47" s="238">
        <v>9991</v>
      </c>
      <c r="B47" s="238" t="s">
        <v>162</v>
      </c>
      <c r="C47" s="238" t="s">
        <v>75</v>
      </c>
      <c r="D47" s="238">
        <v>9991</v>
      </c>
      <c r="E47" s="238">
        <v>2026</v>
      </c>
      <c r="F47" s="238" t="s">
        <v>275</v>
      </c>
      <c r="G47" s="238">
        <v>2</v>
      </c>
      <c r="H47" s="238">
        <v>6</v>
      </c>
      <c r="I47" s="238" t="s">
        <v>703</v>
      </c>
      <c r="J47" s="239">
        <v>7841007.4800000004</v>
      </c>
      <c r="K47" s="240">
        <v>58514.98</v>
      </c>
      <c r="L47" s="241" t="s">
        <v>296</v>
      </c>
      <c r="M47" s="241" t="s">
        <v>304</v>
      </c>
      <c r="N47" s="239">
        <v>1011362.79</v>
      </c>
      <c r="O47" s="240">
        <v>8794.4599999999991</v>
      </c>
      <c r="P47" s="241" t="s">
        <v>296</v>
      </c>
      <c r="Q47" s="237" t="s">
        <v>304</v>
      </c>
      <c r="R47" s="239">
        <v>24979053</v>
      </c>
      <c r="S47" s="240">
        <v>116181.64</v>
      </c>
      <c r="T47" s="241" t="s">
        <v>298</v>
      </c>
      <c r="U47" s="241" t="s">
        <v>305</v>
      </c>
    </row>
    <row r="48" spans="1:21" s="83" customFormat="1" ht="79.8" x14ac:dyDescent="0.3">
      <c r="A48" s="233">
        <v>12759</v>
      </c>
      <c r="B48" s="233" t="s">
        <v>166</v>
      </c>
      <c r="C48" s="233" t="s">
        <v>75</v>
      </c>
      <c r="D48" s="233">
        <v>12759</v>
      </c>
      <c r="E48" s="233">
        <v>2026</v>
      </c>
      <c r="F48" s="233" t="s">
        <v>275</v>
      </c>
      <c r="G48" s="233">
        <v>2</v>
      </c>
      <c r="H48" s="233">
        <v>6</v>
      </c>
      <c r="I48" s="233" t="s">
        <v>703</v>
      </c>
      <c r="J48" s="234">
        <v>2035921.76</v>
      </c>
      <c r="K48" s="235">
        <v>16080.5</v>
      </c>
      <c r="L48" s="236" t="s">
        <v>296</v>
      </c>
      <c r="M48" s="236" t="s">
        <v>306</v>
      </c>
      <c r="N48" s="234">
        <v>350182.67</v>
      </c>
      <c r="O48" s="235">
        <v>3560.1667000000002</v>
      </c>
      <c r="P48" s="236" t="s">
        <v>296</v>
      </c>
      <c r="Q48" s="237" t="s">
        <v>306</v>
      </c>
      <c r="R48" s="234">
        <v>48016</v>
      </c>
      <c r="S48" s="235">
        <v>131</v>
      </c>
      <c r="T48" s="236" t="s">
        <v>296</v>
      </c>
      <c r="U48" s="236" t="s">
        <v>306</v>
      </c>
    </row>
    <row r="49" spans="1:21" s="83" customFormat="1" ht="45.6" x14ac:dyDescent="0.3">
      <c r="A49" s="238">
        <v>13120</v>
      </c>
      <c r="B49" s="238" t="s">
        <v>169</v>
      </c>
      <c r="C49" s="238" t="s">
        <v>83</v>
      </c>
      <c r="D49" s="238">
        <v>12759</v>
      </c>
      <c r="E49" s="238">
        <v>2026</v>
      </c>
      <c r="F49" s="238" t="s">
        <v>275</v>
      </c>
      <c r="G49" s="238">
        <v>2</v>
      </c>
      <c r="H49" s="238">
        <v>6</v>
      </c>
      <c r="I49" s="238" t="s">
        <v>703</v>
      </c>
      <c r="J49" s="239">
        <v>114322.85</v>
      </c>
      <c r="K49" s="240">
        <v>1251.25</v>
      </c>
      <c r="L49" s="241" t="s">
        <v>296</v>
      </c>
      <c r="M49" s="241" t="s">
        <v>306</v>
      </c>
      <c r="N49" s="239">
        <v>0</v>
      </c>
      <c r="O49" s="240">
        <v>0</v>
      </c>
      <c r="P49" s="241"/>
      <c r="Q49" s="237"/>
      <c r="R49" s="239">
        <v>0</v>
      </c>
      <c r="S49" s="240">
        <v>0</v>
      </c>
      <c r="T49" s="241"/>
      <c r="U49" s="241"/>
    </row>
    <row r="50" spans="1:21" s="83" customFormat="1" ht="34.200000000000003" x14ac:dyDescent="0.3">
      <c r="A50" s="233">
        <v>122</v>
      </c>
      <c r="B50" s="233" t="s">
        <v>168</v>
      </c>
      <c r="C50" s="233" t="s">
        <v>77</v>
      </c>
      <c r="D50" s="233">
        <v>12759</v>
      </c>
      <c r="E50" s="233">
        <v>2026</v>
      </c>
      <c r="F50" s="233" t="s">
        <v>275</v>
      </c>
      <c r="G50" s="233">
        <v>2</v>
      </c>
      <c r="H50" s="233">
        <v>6</v>
      </c>
      <c r="I50" s="233" t="s">
        <v>703</v>
      </c>
      <c r="J50" s="234">
        <v>1921598.91</v>
      </c>
      <c r="K50" s="235">
        <v>14829.25</v>
      </c>
      <c r="L50" s="236" t="s">
        <v>296</v>
      </c>
      <c r="M50" s="236" t="s">
        <v>306</v>
      </c>
      <c r="N50" s="234">
        <v>350182.67</v>
      </c>
      <c r="O50" s="235">
        <v>3560.1667000000002</v>
      </c>
      <c r="P50" s="236" t="s">
        <v>296</v>
      </c>
      <c r="Q50" s="237" t="s">
        <v>306</v>
      </c>
      <c r="R50" s="234">
        <v>48016</v>
      </c>
      <c r="S50" s="235">
        <v>131</v>
      </c>
      <c r="T50" s="236" t="s">
        <v>296</v>
      </c>
      <c r="U50" s="236" t="s">
        <v>306</v>
      </c>
    </row>
    <row r="51" spans="1:21" s="83" customFormat="1" ht="34.200000000000003" x14ac:dyDescent="0.3">
      <c r="A51" s="238">
        <v>77</v>
      </c>
      <c r="B51" s="238" t="s">
        <v>205</v>
      </c>
      <c r="C51" s="238" t="s">
        <v>77</v>
      </c>
      <c r="D51" s="238">
        <v>12767</v>
      </c>
      <c r="E51" s="238">
        <v>2026</v>
      </c>
      <c r="F51" s="238" t="s">
        <v>275</v>
      </c>
      <c r="G51" s="238">
        <v>2</v>
      </c>
      <c r="H51" s="238">
        <v>6</v>
      </c>
      <c r="I51" s="238" t="s">
        <v>703</v>
      </c>
      <c r="J51" s="239">
        <v>179634.75</v>
      </c>
      <c r="K51" s="240">
        <v>1890.76</v>
      </c>
      <c r="L51" s="241" t="s">
        <v>296</v>
      </c>
      <c r="M51" s="241" t="s">
        <v>307</v>
      </c>
      <c r="N51" s="239">
        <v>12284.57</v>
      </c>
      <c r="O51" s="240">
        <v>377.56</v>
      </c>
      <c r="P51" s="241" t="s">
        <v>296</v>
      </c>
      <c r="Q51" s="237" t="s">
        <v>307</v>
      </c>
      <c r="R51" s="239">
        <v>493500</v>
      </c>
      <c r="S51" s="240">
        <v>2136.3000000000002</v>
      </c>
      <c r="T51" s="241" t="s">
        <v>296</v>
      </c>
      <c r="U51" s="241" t="s">
        <v>307</v>
      </c>
    </row>
    <row r="52" spans="1:21" s="83" customFormat="1" ht="34.200000000000003" x14ac:dyDescent="0.3">
      <c r="A52" s="233">
        <v>12767</v>
      </c>
      <c r="B52" s="233" t="s">
        <v>203</v>
      </c>
      <c r="C52" s="233" t="s">
        <v>75</v>
      </c>
      <c r="D52" s="233">
        <v>12767</v>
      </c>
      <c r="E52" s="233">
        <v>2026</v>
      </c>
      <c r="F52" s="233" t="s">
        <v>275</v>
      </c>
      <c r="G52" s="233">
        <v>2</v>
      </c>
      <c r="H52" s="233">
        <v>6</v>
      </c>
      <c r="I52" s="233" t="s">
        <v>703</v>
      </c>
      <c r="J52" s="234">
        <v>0</v>
      </c>
      <c r="K52" s="235"/>
      <c r="L52" s="236"/>
      <c r="M52" s="236"/>
      <c r="N52" s="234">
        <v>0</v>
      </c>
      <c r="O52" s="235">
        <v>0</v>
      </c>
      <c r="P52" s="236"/>
      <c r="Q52" s="237"/>
      <c r="R52" s="234">
        <v>0</v>
      </c>
      <c r="S52" s="235">
        <v>0</v>
      </c>
      <c r="T52" s="236"/>
      <c r="U52" s="236"/>
    </row>
    <row r="53" spans="1:21" s="83" customFormat="1" ht="45.6" x14ac:dyDescent="0.3">
      <c r="A53" s="238">
        <v>14428</v>
      </c>
      <c r="B53" s="238" t="s">
        <v>206</v>
      </c>
      <c r="C53" s="238" t="s">
        <v>83</v>
      </c>
      <c r="D53" s="238">
        <v>12767</v>
      </c>
      <c r="E53" s="238">
        <v>2026</v>
      </c>
      <c r="F53" s="238" t="s">
        <v>275</v>
      </c>
      <c r="G53" s="238">
        <v>2</v>
      </c>
      <c r="H53" s="238">
        <v>6</v>
      </c>
      <c r="I53" s="238" t="s">
        <v>703</v>
      </c>
      <c r="J53" s="239">
        <v>0</v>
      </c>
      <c r="K53" s="240"/>
      <c r="L53" s="241"/>
      <c r="M53" s="241"/>
      <c r="N53" s="239">
        <v>0</v>
      </c>
      <c r="O53" s="240">
        <v>0</v>
      </c>
      <c r="P53" s="241"/>
      <c r="Q53" s="237"/>
      <c r="R53" s="239">
        <v>0</v>
      </c>
      <c r="S53" s="240">
        <v>0</v>
      </c>
      <c r="T53" s="241"/>
      <c r="U53" s="241"/>
    </row>
    <row r="54" spans="1:21" s="83" customFormat="1" ht="57" x14ac:dyDescent="0.3">
      <c r="A54" s="233">
        <v>12773</v>
      </c>
      <c r="B54" s="233" t="s">
        <v>179</v>
      </c>
      <c r="C54" s="233" t="s">
        <v>75</v>
      </c>
      <c r="D54" s="233">
        <v>12773</v>
      </c>
      <c r="E54" s="233">
        <v>2026</v>
      </c>
      <c r="F54" s="233" t="s">
        <v>275</v>
      </c>
      <c r="G54" s="233">
        <v>2</v>
      </c>
      <c r="H54" s="233">
        <v>6</v>
      </c>
      <c r="I54" s="233" t="s">
        <v>703</v>
      </c>
      <c r="J54" s="234">
        <v>774411.22</v>
      </c>
      <c r="K54" s="235">
        <v>8064</v>
      </c>
      <c r="L54" s="236"/>
      <c r="M54" s="236"/>
      <c r="N54" s="234">
        <v>329120</v>
      </c>
      <c r="O54" s="235">
        <v>3590</v>
      </c>
      <c r="P54" s="236"/>
      <c r="Q54" s="237"/>
      <c r="R54" s="234">
        <v>28626.15</v>
      </c>
      <c r="S54" s="235">
        <v>71.5</v>
      </c>
      <c r="T54" s="236"/>
      <c r="U54" s="236"/>
    </row>
    <row r="55" spans="1:21" s="83" customFormat="1" ht="34.200000000000003" x14ac:dyDescent="0.3">
      <c r="A55" s="238">
        <v>129</v>
      </c>
      <c r="B55" s="238" t="s">
        <v>181</v>
      </c>
      <c r="C55" s="238" t="s">
        <v>77</v>
      </c>
      <c r="D55" s="238">
        <v>12773</v>
      </c>
      <c r="E55" s="238">
        <v>2026</v>
      </c>
      <c r="F55" s="238" t="s">
        <v>275</v>
      </c>
      <c r="G55" s="238">
        <v>2</v>
      </c>
      <c r="H55" s="238">
        <v>6</v>
      </c>
      <c r="I55" s="238" t="s">
        <v>703</v>
      </c>
      <c r="J55" s="239">
        <v>774411.22</v>
      </c>
      <c r="K55" s="240">
        <v>8064</v>
      </c>
      <c r="L55" s="241"/>
      <c r="M55" s="241"/>
      <c r="N55" s="239">
        <v>329120</v>
      </c>
      <c r="O55" s="240">
        <v>3590</v>
      </c>
      <c r="P55" s="241"/>
      <c r="Q55" s="237"/>
      <c r="R55" s="239">
        <v>28626.15</v>
      </c>
      <c r="S55" s="240">
        <v>71.5</v>
      </c>
      <c r="T55" s="241"/>
      <c r="U55" s="241"/>
    </row>
    <row r="56" spans="1:21" s="83" customFormat="1" ht="45.6" x14ac:dyDescent="0.3">
      <c r="A56" s="233">
        <v>11397</v>
      </c>
      <c r="B56" s="233" t="s">
        <v>182</v>
      </c>
      <c r="C56" s="233" t="s">
        <v>83</v>
      </c>
      <c r="D56" s="233">
        <v>12773</v>
      </c>
      <c r="E56" s="233">
        <v>2026</v>
      </c>
      <c r="F56" s="233" t="s">
        <v>275</v>
      </c>
      <c r="G56" s="233">
        <v>2</v>
      </c>
      <c r="H56" s="233">
        <v>6</v>
      </c>
      <c r="I56" s="233" t="s">
        <v>703</v>
      </c>
      <c r="J56" s="234">
        <v>0</v>
      </c>
      <c r="K56" s="235"/>
      <c r="L56" s="236"/>
      <c r="M56" s="236"/>
      <c r="N56" s="234">
        <v>0</v>
      </c>
      <c r="O56" s="235">
        <v>0</v>
      </c>
      <c r="P56" s="236"/>
      <c r="Q56" s="237"/>
      <c r="R56" s="234">
        <v>0</v>
      </c>
      <c r="S56" s="235">
        <v>0</v>
      </c>
      <c r="T56" s="236"/>
      <c r="U56" s="236"/>
    </row>
    <row r="57" spans="1:21" s="83" customFormat="1" ht="68.400000000000006" x14ac:dyDescent="0.3">
      <c r="A57" s="238">
        <v>10991</v>
      </c>
      <c r="B57" s="238" t="s">
        <v>196</v>
      </c>
      <c r="C57" s="238" t="s">
        <v>83</v>
      </c>
      <c r="D57" s="238">
        <v>12775</v>
      </c>
      <c r="E57" s="238">
        <v>2026</v>
      </c>
      <c r="F57" s="238" t="s">
        <v>275</v>
      </c>
      <c r="G57" s="238">
        <v>2</v>
      </c>
      <c r="H57" s="238">
        <v>6</v>
      </c>
      <c r="I57" s="238" t="s">
        <v>703</v>
      </c>
      <c r="J57" s="239">
        <v>0</v>
      </c>
      <c r="K57" s="240">
        <v>0</v>
      </c>
      <c r="L57" s="241" t="s">
        <v>296</v>
      </c>
      <c r="M57" s="241" t="s">
        <v>308</v>
      </c>
      <c r="N57" s="239">
        <v>355423</v>
      </c>
      <c r="O57" s="240">
        <v>8276.43</v>
      </c>
      <c r="P57" s="241" t="s">
        <v>296</v>
      </c>
      <c r="Q57" s="237" t="s">
        <v>308</v>
      </c>
      <c r="R57" s="239">
        <v>8861296</v>
      </c>
      <c r="S57" s="240">
        <v>26967.439999999999</v>
      </c>
      <c r="T57" s="241" t="s">
        <v>296</v>
      </c>
      <c r="U57" s="241" t="s">
        <v>308</v>
      </c>
    </row>
    <row r="58" spans="1:21" s="83" customFormat="1" ht="34.200000000000003" x14ac:dyDescent="0.3">
      <c r="A58" s="233">
        <v>104</v>
      </c>
      <c r="B58" s="233" t="s">
        <v>193</v>
      </c>
      <c r="C58" s="233" t="s">
        <v>77</v>
      </c>
      <c r="D58" s="233">
        <v>12775</v>
      </c>
      <c r="E58" s="233">
        <v>2026</v>
      </c>
      <c r="F58" s="233" t="s">
        <v>275</v>
      </c>
      <c r="G58" s="233">
        <v>2</v>
      </c>
      <c r="H58" s="233">
        <v>6</v>
      </c>
      <c r="I58" s="233" t="s">
        <v>703</v>
      </c>
      <c r="J58" s="234">
        <v>361513</v>
      </c>
      <c r="K58" s="235">
        <v>3476</v>
      </c>
      <c r="L58" s="236" t="s">
        <v>296</v>
      </c>
      <c r="M58" s="236" t="s">
        <v>308</v>
      </c>
      <c r="N58" s="234">
        <v>740590</v>
      </c>
      <c r="O58" s="235">
        <v>7714</v>
      </c>
      <c r="P58" s="236" t="s">
        <v>296</v>
      </c>
      <c r="Q58" s="237" t="s">
        <v>308</v>
      </c>
      <c r="R58" s="234">
        <v>0</v>
      </c>
      <c r="S58" s="235">
        <v>0</v>
      </c>
      <c r="T58" s="236"/>
      <c r="U58" s="236"/>
    </row>
    <row r="59" spans="1:21" s="83" customFormat="1" ht="45.6" x14ac:dyDescent="0.3">
      <c r="A59" s="238">
        <v>14420</v>
      </c>
      <c r="B59" s="238" t="s">
        <v>194</v>
      </c>
      <c r="C59" s="238" t="s">
        <v>83</v>
      </c>
      <c r="D59" s="238">
        <v>12775</v>
      </c>
      <c r="E59" s="238">
        <v>2026</v>
      </c>
      <c r="F59" s="238" t="s">
        <v>275</v>
      </c>
      <c r="G59" s="238">
        <v>2</v>
      </c>
      <c r="H59" s="238">
        <v>6</v>
      </c>
      <c r="I59" s="238" t="s">
        <v>703</v>
      </c>
      <c r="J59" s="239">
        <v>0</v>
      </c>
      <c r="K59" s="240">
        <v>0</v>
      </c>
      <c r="L59" s="241" t="s">
        <v>296</v>
      </c>
      <c r="M59" s="241" t="s">
        <v>308</v>
      </c>
      <c r="N59" s="239">
        <v>0</v>
      </c>
      <c r="O59" s="240">
        <v>0</v>
      </c>
      <c r="P59" s="241" t="s">
        <v>296</v>
      </c>
      <c r="Q59" s="237" t="s">
        <v>308</v>
      </c>
      <c r="R59" s="239">
        <v>0</v>
      </c>
      <c r="S59" s="240">
        <v>0</v>
      </c>
      <c r="T59" s="241" t="s">
        <v>296</v>
      </c>
      <c r="U59" s="241" t="s">
        <v>308</v>
      </c>
    </row>
    <row r="60" spans="1:21" s="83" customFormat="1" ht="34.200000000000003" x14ac:dyDescent="0.3">
      <c r="A60" s="233">
        <v>3111</v>
      </c>
      <c r="B60" s="233" t="s">
        <v>192</v>
      </c>
      <c r="C60" s="233" t="s">
        <v>77</v>
      </c>
      <c r="D60" s="233">
        <v>12775</v>
      </c>
      <c r="E60" s="233">
        <v>2026</v>
      </c>
      <c r="F60" s="233" t="s">
        <v>275</v>
      </c>
      <c r="G60" s="233">
        <v>2</v>
      </c>
      <c r="H60" s="233">
        <v>6</v>
      </c>
      <c r="I60" s="233" t="s">
        <v>703</v>
      </c>
      <c r="J60" s="234">
        <v>224135.08</v>
      </c>
      <c r="K60" s="235">
        <v>2267.5</v>
      </c>
      <c r="L60" s="236" t="s">
        <v>296</v>
      </c>
      <c r="M60" s="236" t="s">
        <v>308</v>
      </c>
      <c r="N60" s="234">
        <v>698663.18</v>
      </c>
      <c r="O60" s="235">
        <v>6711.54</v>
      </c>
      <c r="P60" s="236" t="s">
        <v>296</v>
      </c>
      <c r="Q60" s="237" t="s">
        <v>308</v>
      </c>
      <c r="R60" s="234">
        <v>230275.86</v>
      </c>
      <c r="S60" s="235">
        <v>648.66</v>
      </c>
      <c r="T60" s="236" t="s">
        <v>296</v>
      </c>
      <c r="U60" s="236" t="s">
        <v>308</v>
      </c>
    </row>
    <row r="61" spans="1:21" s="83" customFormat="1" ht="45.6" x14ac:dyDescent="0.3">
      <c r="A61" s="238">
        <v>7895</v>
      </c>
      <c r="B61" s="238" t="s">
        <v>195</v>
      </c>
      <c r="C61" s="238" t="s">
        <v>83</v>
      </c>
      <c r="D61" s="238">
        <v>12775</v>
      </c>
      <c r="E61" s="238">
        <v>2026</v>
      </c>
      <c r="F61" s="238" t="s">
        <v>275</v>
      </c>
      <c r="G61" s="238">
        <v>2</v>
      </c>
      <c r="H61" s="238">
        <v>6</v>
      </c>
      <c r="I61" s="238" t="s">
        <v>703</v>
      </c>
      <c r="J61" s="239">
        <v>0</v>
      </c>
      <c r="K61" s="240">
        <v>0</v>
      </c>
      <c r="L61" s="241" t="s">
        <v>296</v>
      </c>
      <c r="M61" s="241" t="s">
        <v>308</v>
      </c>
      <c r="N61" s="239">
        <v>0</v>
      </c>
      <c r="O61" s="240">
        <v>0</v>
      </c>
      <c r="P61" s="241" t="s">
        <v>296</v>
      </c>
      <c r="Q61" s="237" t="s">
        <v>308</v>
      </c>
      <c r="R61" s="239">
        <v>0</v>
      </c>
      <c r="S61" s="240">
        <v>0</v>
      </c>
      <c r="T61" s="241" t="s">
        <v>296</v>
      </c>
      <c r="U61" s="241" t="s">
        <v>308</v>
      </c>
    </row>
    <row r="62" spans="1:21" s="83" customFormat="1" ht="34.200000000000003" x14ac:dyDescent="0.3">
      <c r="A62" s="233">
        <v>12775</v>
      </c>
      <c r="B62" s="233" t="s">
        <v>190</v>
      </c>
      <c r="C62" s="233" t="s">
        <v>75</v>
      </c>
      <c r="D62" s="233">
        <v>12775</v>
      </c>
      <c r="E62" s="233">
        <v>2026</v>
      </c>
      <c r="F62" s="233" t="s">
        <v>275</v>
      </c>
      <c r="G62" s="233">
        <v>2</v>
      </c>
      <c r="H62" s="233">
        <v>6</v>
      </c>
      <c r="I62" s="233" t="s">
        <v>703</v>
      </c>
      <c r="J62" s="234">
        <v>622161.07999999996</v>
      </c>
      <c r="K62" s="235">
        <v>6118.25</v>
      </c>
      <c r="L62" s="236" t="s">
        <v>296</v>
      </c>
      <c r="M62" s="236" t="s">
        <v>308</v>
      </c>
      <c r="N62" s="234">
        <v>2447624.0550000002</v>
      </c>
      <c r="O62" s="235">
        <v>30316.35</v>
      </c>
      <c r="P62" s="236" t="s">
        <v>296</v>
      </c>
      <c r="Q62" s="237" t="s">
        <v>308</v>
      </c>
      <c r="R62" s="234">
        <v>9091571.8599999994</v>
      </c>
      <c r="S62" s="235">
        <v>27616.1</v>
      </c>
      <c r="T62" s="236" t="s">
        <v>296</v>
      </c>
      <c r="U62" s="236" t="s">
        <v>308</v>
      </c>
    </row>
    <row r="63" spans="1:21" s="83" customFormat="1" ht="34.200000000000003" x14ac:dyDescent="0.3">
      <c r="A63" s="238">
        <v>85</v>
      </c>
      <c r="B63" s="238" t="s">
        <v>191</v>
      </c>
      <c r="C63" s="238" t="s">
        <v>77</v>
      </c>
      <c r="D63" s="238">
        <v>12775</v>
      </c>
      <c r="E63" s="238">
        <v>2026</v>
      </c>
      <c r="F63" s="238" t="s">
        <v>275</v>
      </c>
      <c r="G63" s="238">
        <v>2</v>
      </c>
      <c r="H63" s="238">
        <v>6</v>
      </c>
      <c r="I63" s="238" t="s">
        <v>703</v>
      </c>
      <c r="J63" s="239">
        <v>36513</v>
      </c>
      <c r="K63" s="240">
        <v>374.75</v>
      </c>
      <c r="L63" s="241" t="s">
        <v>296</v>
      </c>
      <c r="M63" s="241" t="s">
        <v>308</v>
      </c>
      <c r="N63" s="239">
        <v>652947.875</v>
      </c>
      <c r="O63" s="240">
        <v>7614.38</v>
      </c>
      <c r="P63" s="241" t="s">
        <v>296</v>
      </c>
      <c r="Q63" s="237" t="s">
        <v>308</v>
      </c>
      <c r="R63" s="239">
        <v>0</v>
      </c>
      <c r="S63" s="240">
        <v>0</v>
      </c>
      <c r="T63" s="241"/>
      <c r="U63" s="241"/>
    </row>
    <row r="64" spans="1:21" s="83" customFormat="1" ht="45.6" x14ac:dyDescent="0.3">
      <c r="A64" s="233">
        <v>57</v>
      </c>
      <c r="B64" s="233" t="s">
        <v>132</v>
      </c>
      <c r="C64" s="233" t="s">
        <v>77</v>
      </c>
      <c r="D64" s="233">
        <v>12776</v>
      </c>
      <c r="E64" s="233">
        <v>2026</v>
      </c>
      <c r="F64" s="233" t="s">
        <v>275</v>
      </c>
      <c r="G64" s="233">
        <v>2</v>
      </c>
      <c r="H64" s="233">
        <v>6</v>
      </c>
      <c r="I64" s="233" t="s">
        <v>703</v>
      </c>
      <c r="J64" s="234">
        <v>3576759</v>
      </c>
      <c r="K64" s="235">
        <v>31186</v>
      </c>
      <c r="L64" s="236" t="s">
        <v>298</v>
      </c>
      <c r="M64" s="236" t="s">
        <v>310</v>
      </c>
      <c r="N64" s="234">
        <v>1013306</v>
      </c>
      <c r="O64" s="235">
        <v>18732</v>
      </c>
      <c r="P64" s="236" t="s">
        <v>298</v>
      </c>
      <c r="Q64" s="237" t="s">
        <v>310</v>
      </c>
      <c r="R64" s="234">
        <v>0</v>
      </c>
      <c r="S64" s="235">
        <v>0</v>
      </c>
      <c r="T64" s="236"/>
      <c r="U64" s="236"/>
    </row>
    <row r="65" spans="1:21" s="83" customFormat="1" ht="57" x14ac:dyDescent="0.3">
      <c r="A65" s="238">
        <v>12776</v>
      </c>
      <c r="B65" s="238" t="s">
        <v>130</v>
      </c>
      <c r="C65" s="238" t="s">
        <v>75</v>
      </c>
      <c r="D65" s="238">
        <v>12776</v>
      </c>
      <c r="E65" s="238">
        <v>2026</v>
      </c>
      <c r="F65" s="238" t="s">
        <v>275</v>
      </c>
      <c r="G65" s="238">
        <v>2</v>
      </c>
      <c r="H65" s="238">
        <v>6</v>
      </c>
      <c r="I65" s="238" t="s">
        <v>703</v>
      </c>
      <c r="J65" s="239">
        <v>0</v>
      </c>
      <c r="K65" s="240"/>
      <c r="L65" s="241"/>
      <c r="M65" s="241"/>
      <c r="N65" s="239">
        <v>0</v>
      </c>
      <c r="O65" s="240">
        <v>0</v>
      </c>
      <c r="P65" s="241"/>
      <c r="Q65" s="237"/>
      <c r="R65" s="239">
        <v>0</v>
      </c>
      <c r="S65" s="240">
        <v>0</v>
      </c>
      <c r="T65" s="241"/>
      <c r="U65" s="241"/>
    </row>
    <row r="66" spans="1:21" s="83" customFormat="1" ht="34.200000000000003" x14ac:dyDescent="0.3">
      <c r="A66" s="233">
        <v>12807</v>
      </c>
      <c r="B66" s="233" t="s">
        <v>133</v>
      </c>
      <c r="C66" s="233" t="s">
        <v>75</v>
      </c>
      <c r="D66" s="233">
        <v>12807</v>
      </c>
      <c r="E66" s="233">
        <v>2026</v>
      </c>
      <c r="F66" s="233" t="s">
        <v>275</v>
      </c>
      <c r="G66" s="233">
        <v>2</v>
      </c>
      <c r="H66" s="233">
        <v>6</v>
      </c>
      <c r="I66" s="233" t="s">
        <v>703</v>
      </c>
      <c r="J66" s="234">
        <v>113498.17</v>
      </c>
      <c r="K66" s="235">
        <v>1328.65</v>
      </c>
      <c r="L66" s="236" t="s">
        <v>296</v>
      </c>
      <c r="M66" s="236" t="s">
        <v>311</v>
      </c>
      <c r="N66" s="234">
        <v>209905.3</v>
      </c>
      <c r="O66" s="235">
        <v>2599.4499999999998</v>
      </c>
      <c r="P66" s="236" t="s">
        <v>296</v>
      </c>
      <c r="Q66" s="237" t="s">
        <v>311</v>
      </c>
      <c r="R66" s="234">
        <v>1447460.64</v>
      </c>
      <c r="S66" s="235">
        <v>0</v>
      </c>
      <c r="T66" s="236" t="s">
        <v>296</v>
      </c>
      <c r="U66" s="236" t="s">
        <v>311</v>
      </c>
    </row>
    <row r="67" spans="1:21" s="83" customFormat="1" ht="34.200000000000003" x14ac:dyDescent="0.3">
      <c r="A67" s="238">
        <v>10976</v>
      </c>
      <c r="B67" s="238" t="s">
        <v>137</v>
      </c>
      <c r="C67" s="238" t="s">
        <v>83</v>
      </c>
      <c r="D67" s="238">
        <v>12807</v>
      </c>
      <c r="E67" s="238">
        <v>2026</v>
      </c>
      <c r="F67" s="238" t="s">
        <v>275</v>
      </c>
      <c r="G67" s="238">
        <v>2</v>
      </c>
      <c r="H67" s="238">
        <v>6</v>
      </c>
      <c r="I67" s="238" t="s">
        <v>703</v>
      </c>
      <c r="J67" s="239">
        <v>0</v>
      </c>
      <c r="K67" s="240"/>
      <c r="L67" s="241"/>
      <c r="M67" s="241"/>
      <c r="N67" s="239">
        <v>0</v>
      </c>
      <c r="O67" s="240">
        <v>0</v>
      </c>
      <c r="P67" s="241"/>
      <c r="Q67" s="237"/>
      <c r="R67" s="239">
        <v>0</v>
      </c>
      <c r="S67" s="240">
        <v>0</v>
      </c>
      <c r="T67" s="241"/>
      <c r="U67" s="241"/>
    </row>
    <row r="68" spans="1:21" s="83" customFormat="1" ht="34.200000000000003" x14ac:dyDescent="0.3">
      <c r="A68" s="233">
        <v>73</v>
      </c>
      <c r="B68" s="233" t="s">
        <v>136</v>
      </c>
      <c r="C68" s="233" t="s">
        <v>77</v>
      </c>
      <c r="D68" s="233">
        <v>12807</v>
      </c>
      <c r="E68" s="233">
        <v>2026</v>
      </c>
      <c r="F68" s="233" t="s">
        <v>275</v>
      </c>
      <c r="G68" s="233">
        <v>2</v>
      </c>
      <c r="H68" s="233">
        <v>6</v>
      </c>
      <c r="I68" s="233" t="s">
        <v>703</v>
      </c>
      <c r="J68" s="234">
        <v>78490.25</v>
      </c>
      <c r="K68" s="235">
        <v>925.95</v>
      </c>
      <c r="L68" s="236" t="s">
        <v>296</v>
      </c>
      <c r="M68" s="236" t="s">
        <v>311</v>
      </c>
      <c r="N68" s="234">
        <v>174320.5</v>
      </c>
      <c r="O68" s="235">
        <v>2264.65</v>
      </c>
      <c r="P68" s="236" t="s">
        <v>296</v>
      </c>
      <c r="Q68" s="237" t="s">
        <v>311</v>
      </c>
      <c r="R68" s="234">
        <v>1098570.81</v>
      </c>
      <c r="S68" s="235">
        <v>0</v>
      </c>
      <c r="T68" s="236"/>
      <c r="U68" s="236"/>
    </row>
    <row r="69" spans="1:21" s="83" customFormat="1" ht="34.200000000000003" x14ac:dyDescent="0.3">
      <c r="A69" s="238">
        <v>2</v>
      </c>
      <c r="B69" s="238" t="s">
        <v>135</v>
      </c>
      <c r="C69" s="238" t="s">
        <v>77</v>
      </c>
      <c r="D69" s="238">
        <v>12807</v>
      </c>
      <c r="E69" s="238">
        <v>2026</v>
      </c>
      <c r="F69" s="238" t="s">
        <v>275</v>
      </c>
      <c r="G69" s="238">
        <v>2</v>
      </c>
      <c r="H69" s="238">
        <v>6</v>
      </c>
      <c r="I69" s="238" t="s">
        <v>703</v>
      </c>
      <c r="J69" s="239">
        <v>35007.919999999998</v>
      </c>
      <c r="K69" s="240">
        <v>402.7</v>
      </c>
      <c r="L69" s="241" t="s">
        <v>296</v>
      </c>
      <c r="M69" s="241" t="s">
        <v>311</v>
      </c>
      <c r="N69" s="239">
        <v>35584.800000000003</v>
      </c>
      <c r="O69" s="240">
        <v>334.8</v>
      </c>
      <c r="P69" s="241" t="s">
        <v>296</v>
      </c>
      <c r="Q69" s="237" t="s">
        <v>311</v>
      </c>
      <c r="R69" s="239">
        <v>348889.83</v>
      </c>
      <c r="S69" s="240">
        <v>0</v>
      </c>
      <c r="T69" s="241" t="s">
        <v>296</v>
      </c>
      <c r="U69" s="241" t="s">
        <v>311</v>
      </c>
    </row>
    <row r="70" spans="1:21" s="83" customFormat="1" ht="45.6" x14ac:dyDescent="0.3">
      <c r="A70" s="233">
        <v>51</v>
      </c>
      <c r="B70" s="233" t="s">
        <v>129</v>
      </c>
      <c r="C70" s="233" t="s">
        <v>77</v>
      </c>
      <c r="D70" s="233">
        <v>13155</v>
      </c>
      <c r="E70" s="233">
        <v>2026</v>
      </c>
      <c r="F70" s="233" t="s">
        <v>275</v>
      </c>
      <c r="G70" s="233">
        <v>2</v>
      </c>
      <c r="H70" s="233">
        <v>6</v>
      </c>
      <c r="I70" s="233" t="s">
        <v>703</v>
      </c>
      <c r="J70" s="234">
        <v>213037</v>
      </c>
      <c r="K70" s="235">
        <v>32.520000000000003</v>
      </c>
      <c r="L70" s="236" t="s">
        <v>298</v>
      </c>
      <c r="M70" s="236" t="s">
        <v>313</v>
      </c>
      <c r="N70" s="234">
        <v>3593189</v>
      </c>
      <c r="O70" s="235">
        <v>857467</v>
      </c>
      <c r="P70" s="236" t="s">
        <v>298</v>
      </c>
      <c r="Q70" s="237" t="s">
        <v>312</v>
      </c>
      <c r="R70" s="234">
        <v>0</v>
      </c>
      <c r="S70" s="235">
        <v>0</v>
      </c>
      <c r="T70" s="236"/>
      <c r="U70" s="236"/>
    </row>
    <row r="71" spans="1:21" s="83" customFormat="1" ht="68.400000000000006" x14ac:dyDescent="0.3">
      <c r="A71" s="238">
        <v>13155</v>
      </c>
      <c r="B71" s="238" t="s">
        <v>127</v>
      </c>
      <c r="C71" s="238" t="s">
        <v>75</v>
      </c>
      <c r="D71" s="238">
        <v>13155</v>
      </c>
      <c r="E71" s="238">
        <v>2026</v>
      </c>
      <c r="F71" s="238" t="s">
        <v>275</v>
      </c>
      <c r="G71" s="238">
        <v>2</v>
      </c>
      <c r="H71" s="238">
        <v>6</v>
      </c>
      <c r="I71" s="238" t="s">
        <v>703</v>
      </c>
      <c r="J71" s="239">
        <v>213037</v>
      </c>
      <c r="K71" s="240">
        <v>32.520000000000003</v>
      </c>
      <c r="L71" s="241" t="s">
        <v>298</v>
      </c>
      <c r="M71" s="241" t="s">
        <v>312</v>
      </c>
      <c r="N71" s="239">
        <v>3593189</v>
      </c>
      <c r="O71" s="240">
        <v>857467</v>
      </c>
      <c r="P71" s="241" t="s">
        <v>298</v>
      </c>
      <c r="Q71" s="237" t="s">
        <v>312</v>
      </c>
      <c r="R71" s="239">
        <v>0</v>
      </c>
      <c r="S71" s="240">
        <v>0</v>
      </c>
      <c r="T71" s="241"/>
      <c r="U71" s="241"/>
    </row>
    <row r="72" spans="1:21" s="83" customFormat="1" ht="34.200000000000003" x14ac:dyDescent="0.3">
      <c r="A72" s="233">
        <v>83</v>
      </c>
      <c r="B72" s="233" t="s">
        <v>139</v>
      </c>
      <c r="C72" s="233" t="s">
        <v>77</v>
      </c>
      <c r="D72" s="233">
        <v>13156</v>
      </c>
      <c r="E72" s="233">
        <v>2026</v>
      </c>
      <c r="F72" s="233" t="s">
        <v>275</v>
      </c>
      <c r="G72" s="233">
        <v>2</v>
      </c>
      <c r="H72" s="233">
        <v>6</v>
      </c>
      <c r="I72" s="233" t="s">
        <v>703</v>
      </c>
      <c r="J72" s="234">
        <v>3854109</v>
      </c>
      <c r="K72" s="235">
        <v>31274</v>
      </c>
      <c r="L72" s="236" t="s">
        <v>296</v>
      </c>
      <c r="M72" s="236" t="s">
        <v>632</v>
      </c>
      <c r="N72" s="234">
        <v>1103952</v>
      </c>
      <c r="O72" s="235">
        <v>10304</v>
      </c>
      <c r="P72" s="236" t="s">
        <v>296</v>
      </c>
      <c r="Q72" s="237" t="s">
        <v>632</v>
      </c>
      <c r="R72" s="234">
        <v>1902529</v>
      </c>
      <c r="S72" s="235">
        <v>0</v>
      </c>
      <c r="T72" s="236"/>
      <c r="U72" s="236"/>
    </row>
    <row r="73" spans="1:21" s="83" customFormat="1" ht="34.200000000000003" x14ac:dyDescent="0.3">
      <c r="A73" s="238">
        <v>75</v>
      </c>
      <c r="B73" s="238" t="s">
        <v>176</v>
      </c>
      <c r="C73" s="238" t="s">
        <v>77</v>
      </c>
      <c r="D73" s="238">
        <v>13156</v>
      </c>
      <c r="E73" s="238">
        <v>2026</v>
      </c>
      <c r="F73" s="238" t="s">
        <v>275</v>
      </c>
      <c r="G73" s="238">
        <v>2</v>
      </c>
      <c r="H73" s="238">
        <v>6</v>
      </c>
      <c r="I73" s="238" t="s">
        <v>703</v>
      </c>
      <c r="J73" s="239">
        <v>2477776</v>
      </c>
      <c r="K73" s="240">
        <v>22215</v>
      </c>
      <c r="L73" s="241" t="s">
        <v>296</v>
      </c>
      <c r="M73" s="241" t="s">
        <v>632</v>
      </c>
      <c r="N73" s="239">
        <v>982681</v>
      </c>
      <c r="O73" s="240">
        <v>9597</v>
      </c>
      <c r="P73" s="241" t="s">
        <v>296</v>
      </c>
      <c r="Q73" s="237" t="s">
        <v>632</v>
      </c>
      <c r="R73" s="239">
        <v>62377</v>
      </c>
      <c r="S73" s="240">
        <v>0</v>
      </c>
      <c r="T73" s="241"/>
      <c r="U73" s="241"/>
    </row>
    <row r="74" spans="1:21" s="83" customFormat="1" ht="57" x14ac:dyDescent="0.3">
      <c r="A74" s="233">
        <v>13156</v>
      </c>
      <c r="B74" s="233" t="s">
        <v>138</v>
      </c>
      <c r="C74" s="233" t="s">
        <v>75</v>
      </c>
      <c r="D74" s="233">
        <v>13156</v>
      </c>
      <c r="E74" s="233">
        <v>2026</v>
      </c>
      <c r="F74" s="233" t="s">
        <v>275</v>
      </c>
      <c r="G74" s="233">
        <v>2</v>
      </c>
      <c r="H74" s="233">
        <v>6</v>
      </c>
      <c r="I74" s="233" t="s">
        <v>703</v>
      </c>
      <c r="J74" s="234">
        <v>6331885</v>
      </c>
      <c r="K74" s="235">
        <v>53489</v>
      </c>
      <c r="L74" s="236" t="s">
        <v>296</v>
      </c>
      <c r="M74" s="236" t="s">
        <v>632</v>
      </c>
      <c r="N74" s="234">
        <v>2115188</v>
      </c>
      <c r="O74" s="235">
        <v>19931</v>
      </c>
      <c r="P74" s="236" t="s">
        <v>296</v>
      </c>
      <c r="Q74" s="237" t="s">
        <v>632</v>
      </c>
      <c r="R74" s="234">
        <v>2490242</v>
      </c>
      <c r="S74" s="235">
        <v>0</v>
      </c>
      <c r="T74" s="236"/>
      <c r="U74" s="236"/>
    </row>
    <row r="75" spans="1:21" s="83" customFormat="1" ht="45.6" x14ac:dyDescent="0.3">
      <c r="A75" s="238">
        <v>13118</v>
      </c>
      <c r="B75" s="238" t="s">
        <v>140</v>
      </c>
      <c r="C75" s="238" t="s">
        <v>83</v>
      </c>
      <c r="D75" s="238">
        <v>13156</v>
      </c>
      <c r="E75" s="238">
        <v>2026</v>
      </c>
      <c r="F75" s="238" t="s">
        <v>275</v>
      </c>
      <c r="G75" s="238">
        <v>2</v>
      </c>
      <c r="H75" s="238">
        <v>6</v>
      </c>
      <c r="I75" s="238" t="s">
        <v>703</v>
      </c>
      <c r="J75" s="239">
        <v>0</v>
      </c>
      <c r="K75" s="240"/>
      <c r="L75" s="241"/>
      <c r="M75" s="241"/>
      <c r="N75" s="239">
        <v>28555</v>
      </c>
      <c r="O75" s="240">
        <v>30</v>
      </c>
      <c r="P75" s="241" t="s">
        <v>296</v>
      </c>
      <c r="Q75" s="237" t="s">
        <v>632</v>
      </c>
      <c r="R75" s="239">
        <v>525336</v>
      </c>
      <c r="S75" s="240">
        <v>0</v>
      </c>
      <c r="T75" s="241"/>
      <c r="U75" s="241"/>
    </row>
    <row r="76" spans="1:21" s="83" customFormat="1" ht="45.6" x14ac:dyDescent="0.3">
      <c r="A76" s="233">
        <v>11718</v>
      </c>
      <c r="B76" s="233" t="s">
        <v>690</v>
      </c>
      <c r="C76" s="233" t="s">
        <v>77</v>
      </c>
      <c r="D76" s="233">
        <v>13158</v>
      </c>
      <c r="E76" s="233">
        <v>2026</v>
      </c>
      <c r="F76" s="233" t="s">
        <v>630</v>
      </c>
      <c r="G76" s="233">
        <v>1</v>
      </c>
      <c r="H76" s="233">
        <v>3</v>
      </c>
      <c r="I76" s="233" t="s">
        <v>704</v>
      </c>
      <c r="J76" s="234">
        <v>0</v>
      </c>
      <c r="K76" s="235">
        <v>0</v>
      </c>
      <c r="L76" s="236"/>
      <c r="M76" s="236"/>
      <c r="N76" s="234">
        <v>0</v>
      </c>
      <c r="O76" s="235">
        <v>0</v>
      </c>
      <c r="P76" s="236"/>
      <c r="Q76" s="237"/>
      <c r="R76" s="234">
        <v>0</v>
      </c>
      <c r="S76" s="235">
        <v>0</v>
      </c>
      <c r="T76" s="236"/>
      <c r="U76" s="236"/>
    </row>
    <row r="77" spans="1:21" s="83" customFormat="1" ht="45.6" x14ac:dyDescent="0.3">
      <c r="A77" s="238">
        <v>6963</v>
      </c>
      <c r="B77" s="238" t="s">
        <v>614</v>
      </c>
      <c r="C77" s="238" t="s">
        <v>77</v>
      </c>
      <c r="D77" s="238">
        <v>13158</v>
      </c>
      <c r="E77" s="238">
        <v>2026</v>
      </c>
      <c r="F77" s="238" t="s">
        <v>630</v>
      </c>
      <c r="G77" s="238">
        <v>1</v>
      </c>
      <c r="H77" s="238">
        <v>3</v>
      </c>
      <c r="I77" s="238" t="s">
        <v>704</v>
      </c>
      <c r="J77" s="239">
        <v>0</v>
      </c>
      <c r="K77" s="240">
        <v>0</v>
      </c>
      <c r="L77" s="241" t="s">
        <v>296</v>
      </c>
      <c r="M77" s="241" t="s">
        <v>308</v>
      </c>
      <c r="N77" s="239">
        <v>0</v>
      </c>
      <c r="O77" s="240">
        <v>0</v>
      </c>
      <c r="P77" s="241" t="s">
        <v>296</v>
      </c>
      <c r="Q77" s="237" t="s">
        <v>308</v>
      </c>
      <c r="R77" s="239">
        <v>0</v>
      </c>
      <c r="S77" s="240">
        <v>0</v>
      </c>
      <c r="T77" s="241" t="s">
        <v>296</v>
      </c>
      <c r="U77" s="241" t="s">
        <v>308</v>
      </c>
    </row>
    <row r="78" spans="1:21" s="83" customFormat="1" ht="34.200000000000003" x14ac:dyDescent="0.3">
      <c r="A78" s="233">
        <v>13158</v>
      </c>
      <c r="B78" s="233" t="s">
        <v>613</v>
      </c>
      <c r="C78" s="233" t="s">
        <v>75</v>
      </c>
      <c r="D78" s="233">
        <v>13158</v>
      </c>
      <c r="E78" s="233">
        <v>2026</v>
      </c>
      <c r="F78" s="233" t="s">
        <v>630</v>
      </c>
      <c r="G78" s="233">
        <v>1</v>
      </c>
      <c r="H78" s="233">
        <v>3</v>
      </c>
      <c r="I78" s="233" t="s">
        <v>704</v>
      </c>
      <c r="J78" s="234">
        <v>0</v>
      </c>
      <c r="K78" s="235"/>
      <c r="L78" s="236"/>
      <c r="M78" s="236"/>
      <c r="N78" s="234">
        <v>0</v>
      </c>
      <c r="O78" s="235">
        <v>0</v>
      </c>
      <c r="P78" s="236"/>
      <c r="Q78" s="237"/>
      <c r="R78" s="234">
        <v>0</v>
      </c>
      <c r="S78" s="235">
        <v>0</v>
      </c>
      <c r="T78" s="236"/>
      <c r="U78" s="236"/>
    </row>
    <row r="79" spans="1:21" s="83" customFormat="1" ht="34.200000000000003" x14ac:dyDescent="0.3">
      <c r="A79" s="238">
        <v>3108</v>
      </c>
      <c r="B79" s="238" t="s">
        <v>121</v>
      </c>
      <c r="C79" s="238" t="s">
        <v>77</v>
      </c>
      <c r="D79" s="238">
        <v>13159</v>
      </c>
      <c r="E79" s="238">
        <v>2026</v>
      </c>
      <c r="F79" s="238" t="s">
        <v>276</v>
      </c>
      <c r="G79" s="238">
        <v>3</v>
      </c>
      <c r="H79" s="238">
        <v>9</v>
      </c>
      <c r="I79" s="238" t="s">
        <v>705</v>
      </c>
      <c r="J79" s="239">
        <v>0</v>
      </c>
      <c r="K79" s="240"/>
      <c r="L79" s="241"/>
      <c r="M79" s="241"/>
      <c r="N79" s="239">
        <v>0</v>
      </c>
      <c r="O79" s="240">
        <v>0</v>
      </c>
      <c r="P79" s="241"/>
      <c r="Q79" s="237"/>
      <c r="R79" s="239">
        <v>0</v>
      </c>
      <c r="S79" s="240">
        <v>0</v>
      </c>
      <c r="T79" s="241"/>
      <c r="U79" s="241"/>
    </row>
    <row r="80" spans="1:21" s="83" customFormat="1" ht="34.200000000000003" x14ac:dyDescent="0.3">
      <c r="A80" s="233">
        <v>13159</v>
      </c>
      <c r="B80" s="233" t="s">
        <v>121</v>
      </c>
      <c r="C80" s="233" t="s">
        <v>75</v>
      </c>
      <c r="D80" s="233">
        <v>13159</v>
      </c>
      <c r="E80" s="233">
        <v>2026</v>
      </c>
      <c r="F80" s="233" t="s">
        <v>276</v>
      </c>
      <c r="G80" s="233">
        <v>3</v>
      </c>
      <c r="H80" s="233">
        <v>9</v>
      </c>
      <c r="I80" s="233" t="s">
        <v>705</v>
      </c>
      <c r="J80" s="234">
        <v>9396118.3100000005</v>
      </c>
      <c r="K80" s="235">
        <v>66925.440000000002</v>
      </c>
      <c r="L80" s="236" t="s">
        <v>296</v>
      </c>
      <c r="M80" s="236"/>
      <c r="N80" s="234">
        <v>6007353.2199999997</v>
      </c>
      <c r="O80" s="235">
        <v>92318.26</v>
      </c>
      <c r="P80" s="236" t="s">
        <v>296</v>
      </c>
      <c r="Q80" s="237"/>
      <c r="R80" s="234">
        <v>2986551</v>
      </c>
      <c r="S80" s="235">
        <v>6742.79</v>
      </c>
      <c r="T80" s="236" t="s">
        <v>296</v>
      </c>
      <c r="U80" s="236"/>
    </row>
    <row r="81" spans="1:21" s="83" customFormat="1" ht="57" x14ac:dyDescent="0.3">
      <c r="A81" s="238">
        <v>14286</v>
      </c>
      <c r="B81" s="238" t="s">
        <v>113</v>
      </c>
      <c r="C81" s="238" t="s">
        <v>75</v>
      </c>
      <c r="D81" s="238">
        <v>14286</v>
      </c>
      <c r="E81" s="238">
        <v>2026</v>
      </c>
      <c r="F81" s="238" t="s">
        <v>275</v>
      </c>
      <c r="G81" s="238">
        <v>2</v>
      </c>
      <c r="H81" s="238">
        <v>6</v>
      </c>
      <c r="I81" s="238" t="s">
        <v>703</v>
      </c>
      <c r="J81" s="239">
        <v>12242461.35</v>
      </c>
      <c r="K81" s="240">
        <v>84513.17</v>
      </c>
      <c r="L81" s="241" t="s">
        <v>298</v>
      </c>
      <c r="M81" s="241" t="s">
        <v>298</v>
      </c>
      <c r="N81" s="239">
        <v>15751988.854</v>
      </c>
      <c r="O81" s="240">
        <v>186357.085566667</v>
      </c>
      <c r="P81" s="241" t="s">
        <v>298</v>
      </c>
      <c r="Q81" s="237" t="s">
        <v>298</v>
      </c>
      <c r="R81" s="239">
        <v>648528.99</v>
      </c>
      <c r="S81" s="240">
        <v>1159.26</v>
      </c>
      <c r="T81" s="241" t="s">
        <v>298</v>
      </c>
      <c r="U81" s="241" t="s">
        <v>298</v>
      </c>
    </row>
    <row r="82" spans="1:21" s="83" customFormat="1" ht="34.200000000000003" x14ac:dyDescent="0.3">
      <c r="A82" s="233">
        <v>46</v>
      </c>
      <c r="B82" s="233" t="s">
        <v>115</v>
      </c>
      <c r="C82" s="233" t="s">
        <v>77</v>
      </c>
      <c r="D82" s="233">
        <v>14286</v>
      </c>
      <c r="E82" s="233">
        <v>2026</v>
      </c>
      <c r="F82" s="233" t="s">
        <v>275</v>
      </c>
      <c r="G82" s="233">
        <v>2</v>
      </c>
      <c r="H82" s="233">
        <v>6</v>
      </c>
      <c r="I82" s="233" t="s">
        <v>703</v>
      </c>
      <c r="J82" s="234">
        <v>11554333.880000001</v>
      </c>
      <c r="K82" s="235">
        <v>77207.53</v>
      </c>
      <c r="L82" s="236" t="s">
        <v>298</v>
      </c>
      <c r="M82" s="236" t="s">
        <v>298</v>
      </c>
      <c r="N82" s="234">
        <v>14955339.09</v>
      </c>
      <c r="O82" s="235">
        <v>155624.74</v>
      </c>
      <c r="P82" s="236" t="s">
        <v>298</v>
      </c>
      <c r="Q82" s="237" t="s">
        <v>298</v>
      </c>
      <c r="R82" s="234">
        <v>1520</v>
      </c>
      <c r="S82" s="235">
        <v>0</v>
      </c>
      <c r="T82" s="236" t="s">
        <v>298</v>
      </c>
      <c r="U82" s="236" t="s">
        <v>298</v>
      </c>
    </row>
    <row r="83" spans="1:21" s="83" customFormat="1" ht="79.8" x14ac:dyDescent="0.3">
      <c r="A83" s="238">
        <v>14426</v>
      </c>
      <c r="B83" s="238" t="s">
        <v>116</v>
      </c>
      <c r="C83" s="238" t="s">
        <v>83</v>
      </c>
      <c r="D83" s="238">
        <v>14286</v>
      </c>
      <c r="E83" s="238">
        <v>2026</v>
      </c>
      <c r="F83" s="238" t="s">
        <v>275</v>
      </c>
      <c r="G83" s="238">
        <v>2</v>
      </c>
      <c r="H83" s="238">
        <v>6</v>
      </c>
      <c r="I83" s="238" t="s">
        <v>703</v>
      </c>
      <c r="J83" s="239">
        <v>598787.47</v>
      </c>
      <c r="K83" s="240">
        <v>6271.64</v>
      </c>
      <c r="L83" s="241" t="s">
        <v>298</v>
      </c>
      <c r="M83" s="241" t="s">
        <v>298</v>
      </c>
      <c r="N83" s="239">
        <v>525332.46</v>
      </c>
      <c r="O83" s="240">
        <v>25883.72</v>
      </c>
      <c r="P83" s="241" t="s">
        <v>298</v>
      </c>
      <c r="Q83" s="237" t="s">
        <v>298</v>
      </c>
      <c r="R83" s="239">
        <v>515292.89</v>
      </c>
      <c r="S83" s="240">
        <v>1017</v>
      </c>
      <c r="T83" s="241" t="s">
        <v>298</v>
      </c>
      <c r="U83" s="241" t="s">
        <v>298</v>
      </c>
    </row>
    <row r="84" spans="1:21" s="83" customFormat="1" ht="45.6" x14ac:dyDescent="0.3">
      <c r="A84" s="233">
        <v>126</v>
      </c>
      <c r="B84" s="233" t="s">
        <v>693</v>
      </c>
      <c r="C84" s="233" t="s">
        <v>83</v>
      </c>
      <c r="D84" s="233">
        <v>14287</v>
      </c>
      <c r="E84" s="233">
        <v>2026</v>
      </c>
      <c r="F84" s="233" t="s">
        <v>275</v>
      </c>
      <c r="G84" s="233">
        <v>2</v>
      </c>
      <c r="H84" s="233">
        <v>6</v>
      </c>
      <c r="I84" s="233" t="s">
        <v>703</v>
      </c>
      <c r="J84" s="234">
        <v>2447472</v>
      </c>
      <c r="K84" s="235">
        <v>20953</v>
      </c>
      <c r="L84" s="236" t="s">
        <v>298</v>
      </c>
      <c r="M84" s="236" t="s">
        <v>310</v>
      </c>
      <c r="N84" s="234">
        <v>3079963</v>
      </c>
      <c r="O84" s="235">
        <v>27128</v>
      </c>
      <c r="P84" s="236" t="s">
        <v>298</v>
      </c>
      <c r="Q84" s="237" t="s">
        <v>310</v>
      </c>
      <c r="R84" s="234">
        <v>0</v>
      </c>
      <c r="S84" s="235">
        <v>0</v>
      </c>
      <c r="T84" s="236"/>
      <c r="U84" s="236"/>
    </row>
    <row r="85" spans="1:21" s="83" customFormat="1" ht="45.6" x14ac:dyDescent="0.3">
      <c r="A85" s="238">
        <v>13198</v>
      </c>
      <c r="B85" s="238" t="s">
        <v>119</v>
      </c>
      <c r="C85" s="238" t="s">
        <v>83</v>
      </c>
      <c r="D85" s="238">
        <v>14287</v>
      </c>
      <c r="E85" s="238">
        <v>2026</v>
      </c>
      <c r="F85" s="238" t="s">
        <v>275</v>
      </c>
      <c r="G85" s="238">
        <v>2</v>
      </c>
      <c r="H85" s="238">
        <v>6</v>
      </c>
      <c r="I85" s="238" t="s">
        <v>703</v>
      </c>
      <c r="J85" s="239">
        <v>187965</v>
      </c>
      <c r="K85" s="240">
        <v>529.5</v>
      </c>
      <c r="L85" s="241" t="s">
        <v>298</v>
      </c>
      <c r="M85" s="241" t="s">
        <v>310</v>
      </c>
      <c r="N85" s="239">
        <v>304183</v>
      </c>
      <c r="O85" s="240">
        <v>1427</v>
      </c>
      <c r="P85" s="241" t="s">
        <v>298</v>
      </c>
      <c r="Q85" s="237" t="s">
        <v>310</v>
      </c>
      <c r="R85" s="239">
        <v>2367190</v>
      </c>
      <c r="S85" s="240">
        <v>5680</v>
      </c>
      <c r="T85" s="241" t="s">
        <v>298</v>
      </c>
      <c r="U85" s="241" t="s">
        <v>310</v>
      </c>
    </row>
    <row r="86" spans="1:21" s="83" customFormat="1" ht="57" x14ac:dyDescent="0.3">
      <c r="A86" s="233">
        <v>14287</v>
      </c>
      <c r="B86" s="233" t="s">
        <v>117</v>
      </c>
      <c r="C86" s="233" t="s">
        <v>75</v>
      </c>
      <c r="D86" s="233">
        <v>14287</v>
      </c>
      <c r="E86" s="233">
        <v>2026</v>
      </c>
      <c r="F86" s="233" t="s">
        <v>275</v>
      </c>
      <c r="G86" s="233">
        <v>2</v>
      </c>
      <c r="H86" s="233">
        <v>6</v>
      </c>
      <c r="I86" s="233" t="s">
        <v>703</v>
      </c>
      <c r="J86" s="234">
        <v>17887774</v>
      </c>
      <c r="K86" s="235">
        <v>152072.29</v>
      </c>
      <c r="L86" s="236" t="s">
        <v>298</v>
      </c>
      <c r="M86" s="236" t="s">
        <v>310</v>
      </c>
      <c r="N86" s="234">
        <v>14289731</v>
      </c>
      <c r="O86" s="235">
        <v>132407.21</v>
      </c>
      <c r="P86" s="236" t="s">
        <v>298</v>
      </c>
      <c r="Q86" s="237" t="s">
        <v>310</v>
      </c>
      <c r="R86" s="234">
        <v>4157621</v>
      </c>
      <c r="S86" s="235">
        <v>18218.52</v>
      </c>
      <c r="T86" s="236" t="s">
        <v>298</v>
      </c>
      <c r="U86" s="236" t="s">
        <v>310</v>
      </c>
    </row>
    <row r="87" spans="1:21" s="83" customFormat="1" ht="45.6" x14ac:dyDescent="0.3">
      <c r="A87" s="238">
        <v>3107</v>
      </c>
      <c r="B87" s="238" t="s">
        <v>118</v>
      </c>
      <c r="C87" s="238" t="s">
        <v>77</v>
      </c>
      <c r="D87" s="238">
        <v>14287</v>
      </c>
      <c r="E87" s="238">
        <v>2026</v>
      </c>
      <c r="F87" s="238" t="s">
        <v>275</v>
      </c>
      <c r="G87" s="238">
        <v>2</v>
      </c>
      <c r="H87" s="238">
        <v>6</v>
      </c>
      <c r="I87" s="238" t="s">
        <v>703</v>
      </c>
      <c r="J87" s="239">
        <v>13382041</v>
      </c>
      <c r="K87" s="240">
        <v>115566.83</v>
      </c>
      <c r="L87" s="241" t="s">
        <v>298</v>
      </c>
      <c r="M87" s="241" t="s">
        <v>310</v>
      </c>
      <c r="N87" s="239">
        <v>9991284</v>
      </c>
      <c r="O87" s="240">
        <v>96127</v>
      </c>
      <c r="P87" s="241" t="s">
        <v>298</v>
      </c>
      <c r="Q87" s="237" t="s">
        <v>310</v>
      </c>
      <c r="R87" s="239">
        <v>0</v>
      </c>
      <c r="S87" s="240">
        <v>0</v>
      </c>
      <c r="T87" s="241"/>
      <c r="U87" s="241"/>
    </row>
    <row r="88" spans="1:21" s="83" customFormat="1" ht="45.6" x14ac:dyDescent="0.3">
      <c r="A88" s="233">
        <v>14418</v>
      </c>
      <c r="B88" s="233" t="s">
        <v>120</v>
      </c>
      <c r="C88" s="233" t="s">
        <v>83</v>
      </c>
      <c r="D88" s="233">
        <v>14287</v>
      </c>
      <c r="E88" s="233">
        <v>2026</v>
      </c>
      <c r="F88" s="233" t="s">
        <v>275</v>
      </c>
      <c r="G88" s="233">
        <v>2</v>
      </c>
      <c r="H88" s="233">
        <v>6</v>
      </c>
      <c r="I88" s="233" t="s">
        <v>703</v>
      </c>
      <c r="J88" s="234">
        <v>0</v>
      </c>
      <c r="K88" s="235"/>
      <c r="L88" s="236"/>
      <c r="M88" s="236"/>
      <c r="N88" s="234">
        <v>148926</v>
      </c>
      <c r="O88" s="235">
        <v>1554.67</v>
      </c>
      <c r="P88" s="236" t="s">
        <v>298</v>
      </c>
      <c r="Q88" s="237" t="s">
        <v>310</v>
      </c>
      <c r="R88" s="234">
        <v>1790431</v>
      </c>
      <c r="S88" s="235">
        <v>12538.52</v>
      </c>
      <c r="T88" s="236" t="s">
        <v>298</v>
      </c>
      <c r="U88" s="236" t="s">
        <v>310</v>
      </c>
    </row>
    <row r="89" spans="1:21" s="83" customFormat="1" ht="45.6" x14ac:dyDescent="0.3">
      <c r="A89" s="238">
        <v>8701</v>
      </c>
      <c r="B89" s="238" t="s">
        <v>692</v>
      </c>
      <c r="C89" s="238" t="s">
        <v>77</v>
      </c>
      <c r="D89" s="238">
        <v>14287</v>
      </c>
      <c r="E89" s="238">
        <v>2026</v>
      </c>
      <c r="F89" s="238" t="s">
        <v>275</v>
      </c>
      <c r="G89" s="238">
        <v>2</v>
      </c>
      <c r="H89" s="238">
        <v>6</v>
      </c>
      <c r="I89" s="238" t="s">
        <v>703</v>
      </c>
      <c r="J89" s="239">
        <v>1870296</v>
      </c>
      <c r="K89" s="240">
        <v>15022.96</v>
      </c>
      <c r="L89" s="241" t="s">
        <v>298</v>
      </c>
      <c r="M89" s="241" t="s">
        <v>310</v>
      </c>
      <c r="N89" s="239">
        <v>765375</v>
      </c>
      <c r="O89" s="240">
        <v>6170.54</v>
      </c>
      <c r="P89" s="241" t="s">
        <v>298</v>
      </c>
      <c r="Q89" s="237" t="s">
        <v>310</v>
      </c>
      <c r="R89" s="239">
        <v>0</v>
      </c>
      <c r="S89" s="240">
        <v>0</v>
      </c>
      <c r="T89" s="241"/>
      <c r="U89" s="241"/>
    </row>
    <row r="90" spans="1:21" s="83" customFormat="1" ht="34.200000000000003" x14ac:dyDescent="0.3">
      <c r="A90" s="233">
        <v>6547</v>
      </c>
      <c r="B90" s="233" t="s">
        <v>184</v>
      </c>
      <c r="C90" s="233" t="s">
        <v>77</v>
      </c>
      <c r="D90" s="233">
        <v>14288</v>
      </c>
      <c r="E90" s="233">
        <v>2026</v>
      </c>
      <c r="F90" s="233" t="s">
        <v>276</v>
      </c>
      <c r="G90" s="233">
        <v>3</v>
      </c>
      <c r="H90" s="233">
        <v>9</v>
      </c>
      <c r="I90" s="233" t="s">
        <v>705</v>
      </c>
      <c r="J90" s="234">
        <v>1029809</v>
      </c>
      <c r="K90" s="235">
        <v>9428.6299999999992</v>
      </c>
      <c r="L90" s="236" t="s">
        <v>298</v>
      </c>
      <c r="M90" s="236" t="s">
        <v>318</v>
      </c>
      <c r="N90" s="234">
        <v>377119</v>
      </c>
      <c r="O90" s="235">
        <v>3859.12</v>
      </c>
      <c r="P90" s="236" t="s">
        <v>298</v>
      </c>
      <c r="Q90" s="237" t="s">
        <v>318</v>
      </c>
      <c r="R90" s="234">
        <v>0</v>
      </c>
      <c r="S90" s="235">
        <v>0</v>
      </c>
      <c r="T90" s="236"/>
      <c r="U90" s="236"/>
    </row>
    <row r="91" spans="1:21" s="83" customFormat="1" ht="68.400000000000006" x14ac:dyDescent="0.3">
      <c r="A91" s="238">
        <v>14424</v>
      </c>
      <c r="B91" s="238" t="s">
        <v>186</v>
      </c>
      <c r="C91" s="238" t="s">
        <v>83</v>
      </c>
      <c r="D91" s="238">
        <v>14288</v>
      </c>
      <c r="E91" s="238">
        <v>2026</v>
      </c>
      <c r="F91" s="238" t="s">
        <v>276</v>
      </c>
      <c r="G91" s="238">
        <v>3</v>
      </c>
      <c r="H91" s="238">
        <v>9</v>
      </c>
      <c r="I91" s="238" t="s">
        <v>705</v>
      </c>
      <c r="J91" s="239">
        <v>0</v>
      </c>
      <c r="K91" s="240">
        <v>0</v>
      </c>
      <c r="L91" s="241"/>
      <c r="M91" s="241"/>
      <c r="N91" s="239">
        <v>0</v>
      </c>
      <c r="O91" s="240">
        <v>0</v>
      </c>
      <c r="P91" s="241"/>
      <c r="Q91" s="237"/>
      <c r="R91" s="239">
        <v>356879</v>
      </c>
      <c r="S91" s="240">
        <v>882.23</v>
      </c>
      <c r="T91" s="241" t="s">
        <v>316</v>
      </c>
      <c r="U91" s="241" t="s">
        <v>317</v>
      </c>
    </row>
    <row r="92" spans="1:21" s="83" customFormat="1" ht="34.200000000000003" x14ac:dyDescent="0.3">
      <c r="A92" s="233">
        <v>14288</v>
      </c>
      <c r="B92" s="233" t="s">
        <v>183</v>
      </c>
      <c r="C92" s="233" t="s">
        <v>75</v>
      </c>
      <c r="D92" s="233">
        <v>14288</v>
      </c>
      <c r="E92" s="233">
        <v>2026</v>
      </c>
      <c r="F92" s="233" t="s">
        <v>276</v>
      </c>
      <c r="G92" s="233">
        <v>3</v>
      </c>
      <c r="H92" s="233">
        <v>9</v>
      </c>
      <c r="I92" s="233" t="s">
        <v>705</v>
      </c>
      <c r="J92" s="234">
        <v>38561357</v>
      </c>
      <c r="K92" s="235">
        <v>425255</v>
      </c>
      <c r="L92" s="236" t="s">
        <v>298</v>
      </c>
      <c r="M92" s="236" t="s">
        <v>318</v>
      </c>
      <c r="N92" s="234">
        <v>32332299</v>
      </c>
      <c r="O92" s="235">
        <v>461658</v>
      </c>
      <c r="P92" s="236" t="s">
        <v>298</v>
      </c>
      <c r="Q92" s="237" t="s">
        <v>318</v>
      </c>
      <c r="R92" s="234">
        <v>367924</v>
      </c>
      <c r="S92" s="235">
        <v>1080</v>
      </c>
      <c r="T92" s="236" t="s">
        <v>298</v>
      </c>
      <c r="U92" s="236" t="s">
        <v>318</v>
      </c>
    </row>
    <row r="93" spans="1:21" s="83" customFormat="1" ht="57" x14ac:dyDescent="0.3">
      <c r="A93" s="238">
        <v>16532</v>
      </c>
      <c r="B93" s="238" t="s">
        <v>188</v>
      </c>
      <c r="C93" s="238" t="s">
        <v>83</v>
      </c>
      <c r="D93" s="238">
        <v>14288</v>
      </c>
      <c r="E93" s="238">
        <v>2026</v>
      </c>
      <c r="F93" s="238" t="s">
        <v>276</v>
      </c>
      <c r="G93" s="238">
        <v>3</v>
      </c>
      <c r="H93" s="238">
        <v>9</v>
      </c>
      <c r="I93" s="238" t="s">
        <v>705</v>
      </c>
      <c r="J93" s="239">
        <v>0</v>
      </c>
      <c r="K93" s="240">
        <v>0</v>
      </c>
      <c r="L93" s="241"/>
      <c r="M93" s="241"/>
      <c r="N93" s="239">
        <v>0</v>
      </c>
      <c r="O93" s="240">
        <v>0</v>
      </c>
      <c r="P93" s="241"/>
      <c r="Q93" s="237"/>
      <c r="R93" s="239">
        <v>0</v>
      </c>
      <c r="S93" s="240">
        <v>0</v>
      </c>
      <c r="T93" s="241"/>
      <c r="U93" s="241"/>
    </row>
    <row r="94" spans="1:21" s="83" customFormat="1" ht="34.200000000000003" x14ac:dyDescent="0.3">
      <c r="A94" s="238">
        <v>16533</v>
      </c>
      <c r="B94" s="238" t="s">
        <v>189</v>
      </c>
      <c r="C94" s="238" t="s">
        <v>83</v>
      </c>
      <c r="D94" s="238">
        <v>14288</v>
      </c>
      <c r="E94" s="238">
        <v>2026</v>
      </c>
      <c r="F94" s="238" t="s">
        <v>276</v>
      </c>
      <c r="G94" s="238">
        <v>3</v>
      </c>
      <c r="H94" s="238">
        <v>9</v>
      </c>
      <c r="I94" s="238" t="s">
        <v>705</v>
      </c>
      <c r="J94" s="239">
        <v>0</v>
      </c>
      <c r="K94" s="240">
        <v>0</v>
      </c>
      <c r="L94" s="241"/>
      <c r="M94" s="241"/>
      <c r="N94" s="239">
        <v>0</v>
      </c>
      <c r="O94" s="240">
        <v>0</v>
      </c>
      <c r="P94" s="241"/>
      <c r="Q94" s="237"/>
      <c r="R94" s="239">
        <v>0</v>
      </c>
      <c r="S94" s="240">
        <v>0</v>
      </c>
      <c r="T94" s="241"/>
      <c r="U94" s="241"/>
    </row>
    <row r="95" spans="1:21" s="83" customFormat="1" ht="68.400000000000006" x14ac:dyDescent="0.3">
      <c r="A95" s="233">
        <v>12151</v>
      </c>
      <c r="B95" s="233" t="s">
        <v>185</v>
      </c>
      <c r="C95" s="233" t="s">
        <v>83</v>
      </c>
      <c r="D95" s="233">
        <v>14288</v>
      </c>
      <c r="E95" s="233">
        <v>2026</v>
      </c>
      <c r="F95" s="233" t="s">
        <v>276</v>
      </c>
      <c r="G95" s="233">
        <v>3</v>
      </c>
      <c r="H95" s="233">
        <v>9</v>
      </c>
      <c r="I95" s="233" t="s">
        <v>705</v>
      </c>
      <c r="J95" s="234">
        <v>0</v>
      </c>
      <c r="K95" s="235">
        <v>0</v>
      </c>
      <c r="L95" s="236"/>
      <c r="M95" s="236"/>
      <c r="N95" s="234">
        <v>0</v>
      </c>
      <c r="O95" s="235">
        <v>0</v>
      </c>
      <c r="P95" s="236"/>
      <c r="Q95" s="237"/>
      <c r="R95" s="234">
        <v>85362</v>
      </c>
      <c r="S95" s="235">
        <v>111.95</v>
      </c>
      <c r="T95" s="236" t="s">
        <v>316</v>
      </c>
      <c r="U95" s="236" t="s">
        <v>317</v>
      </c>
    </row>
    <row r="96" spans="1:21" s="83" customFormat="1" ht="45.6" x14ac:dyDescent="0.3">
      <c r="A96" s="238">
        <v>11801</v>
      </c>
      <c r="B96" s="238" t="s">
        <v>102</v>
      </c>
      <c r="C96" s="238" t="s">
        <v>83</v>
      </c>
      <c r="D96" s="238">
        <v>16665</v>
      </c>
      <c r="E96" s="238">
        <v>2026</v>
      </c>
      <c r="F96" s="238" t="s">
        <v>275</v>
      </c>
      <c r="G96" s="238">
        <v>2</v>
      </c>
      <c r="H96" s="238">
        <v>6</v>
      </c>
      <c r="I96" s="238" t="s">
        <v>703</v>
      </c>
      <c r="J96" s="239">
        <v>2010.42</v>
      </c>
      <c r="K96" s="240">
        <v>170543.79</v>
      </c>
      <c r="L96" s="241" t="s">
        <v>298</v>
      </c>
      <c r="M96" s="241" t="s">
        <v>319</v>
      </c>
      <c r="N96" s="239">
        <v>3278.59</v>
      </c>
      <c r="O96" s="240">
        <v>138364.95000000001</v>
      </c>
      <c r="P96" s="241" t="s">
        <v>298</v>
      </c>
      <c r="Q96" s="237" t="s">
        <v>319</v>
      </c>
      <c r="R96" s="239">
        <v>0</v>
      </c>
      <c r="S96" s="240">
        <v>0</v>
      </c>
      <c r="T96" s="241" t="s">
        <v>298</v>
      </c>
      <c r="U96" s="241" t="s">
        <v>319</v>
      </c>
    </row>
    <row r="97" spans="1:21" s="83" customFormat="1" ht="45.6" x14ac:dyDescent="0.3">
      <c r="A97" s="233">
        <v>8702</v>
      </c>
      <c r="B97" s="233" t="s">
        <v>95</v>
      </c>
      <c r="C97" s="233" t="s">
        <v>77</v>
      </c>
      <c r="D97" s="233">
        <v>16665</v>
      </c>
      <c r="E97" s="233">
        <v>2026</v>
      </c>
      <c r="F97" s="233" t="s">
        <v>275</v>
      </c>
      <c r="G97" s="233">
        <v>2</v>
      </c>
      <c r="H97" s="233">
        <v>6</v>
      </c>
      <c r="I97" s="233" t="s">
        <v>703</v>
      </c>
      <c r="J97" s="234">
        <v>4026262</v>
      </c>
      <c r="K97" s="235">
        <v>38020.35</v>
      </c>
      <c r="L97" s="236" t="s">
        <v>298</v>
      </c>
      <c r="M97" s="236" t="s">
        <v>319</v>
      </c>
      <c r="N97" s="234">
        <v>2725758</v>
      </c>
      <c r="O97" s="235">
        <v>29519</v>
      </c>
      <c r="P97" s="236" t="s">
        <v>298</v>
      </c>
      <c r="Q97" s="237" t="s">
        <v>319</v>
      </c>
      <c r="R97" s="234">
        <v>0</v>
      </c>
      <c r="S97" s="235">
        <v>0</v>
      </c>
      <c r="T97" s="236" t="s">
        <v>298</v>
      </c>
      <c r="U97" s="236" t="s">
        <v>319</v>
      </c>
    </row>
    <row r="98" spans="1:21" s="83" customFormat="1" ht="34.200000000000003" x14ac:dyDescent="0.3">
      <c r="A98" s="238">
        <v>12022</v>
      </c>
      <c r="B98" s="238" t="s">
        <v>112</v>
      </c>
      <c r="C98" s="238" t="s">
        <v>83</v>
      </c>
      <c r="D98" s="238">
        <v>16665</v>
      </c>
      <c r="E98" s="238">
        <v>2026</v>
      </c>
      <c r="F98" s="238" t="s">
        <v>275</v>
      </c>
      <c r="G98" s="238">
        <v>2</v>
      </c>
      <c r="H98" s="238">
        <v>6</v>
      </c>
      <c r="I98" s="238" t="s">
        <v>703</v>
      </c>
      <c r="J98" s="239">
        <v>0</v>
      </c>
      <c r="K98" s="240">
        <v>0</v>
      </c>
      <c r="L98" s="241" t="s">
        <v>298</v>
      </c>
      <c r="M98" s="241" t="s">
        <v>319</v>
      </c>
      <c r="N98" s="239">
        <v>0</v>
      </c>
      <c r="O98" s="240">
        <v>0</v>
      </c>
      <c r="P98" s="241" t="s">
        <v>298</v>
      </c>
      <c r="Q98" s="237" t="s">
        <v>319</v>
      </c>
      <c r="R98" s="239">
        <v>0</v>
      </c>
      <c r="S98" s="240">
        <v>0</v>
      </c>
      <c r="T98" s="241" t="s">
        <v>298</v>
      </c>
      <c r="U98" s="241" t="s">
        <v>319</v>
      </c>
    </row>
    <row r="99" spans="1:21" s="83" customFormat="1" ht="34.200000000000003" x14ac:dyDescent="0.3">
      <c r="A99" s="233">
        <v>11408</v>
      </c>
      <c r="B99" s="233" t="s">
        <v>110</v>
      </c>
      <c r="C99" s="233" t="s">
        <v>83</v>
      </c>
      <c r="D99" s="233">
        <v>16665</v>
      </c>
      <c r="E99" s="233">
        <v>2026</v>
      </c>
      <c r="F99" s="233" t="s">
        <v>275</v>
      </c>
      <c r="G99" s="233">
        <v>2</v>
      </c>
      <c r="H99" s="233">
        <v>6</v>
      </c>
      <c r="I99" s="233" t="s">
        <v>703</v>
      </c>
      <c r="J99" s="234">
        <v>0</v>
      </c>
      <c r="K99" s="235">
        <v>0</v>
      </c>
      <c r="L99" s="236" t="s">
        <v>298</v>
      </c>
      <c r="M99" s="236" t="s">
        <v>319</v>
      </c>
      <c r="N99" s="234">
        <v>0</v>
      </c>
      <c r="O99" s="235">
        <v>0</v>
      </c>
      <c r="P99" s="236" t="s">
        <v>298</v>
      </c>
      <c r="Q99" s="237" t="s">
        <v>319</v>
      </c>
      <c r="R99" s="234">
        <v>0</v>
      </c>
      <c r="S99" s="235">
        <v>0</v>
      </c>
      <c r="T99" s="236" t="s">
        <v>298</v>
      </c>
      <c r="U99" s="236" t="s">
        <v>319</v>
      </c>
    </row>
    <row r="100" spans="1:21" s="83" customFormat="1" ht="45.6" x14ac:dyDescent="0.3">
      <c r="A100" s="238">
        <v>12037</v>
      </c>
      <c r="B100" s="238" t="s">
        <v>105</v>
      </c>
      <c r="C100" s="238" t="s">
        <v>83</v>
      </c>
      <c r="D100" s="238">
        <v>16665</v>
      </c>
      <c r="E100" s="238">
        <v>2026</v>
      </c>
      <c r="F100" s="238" t="s">
        <v>275</v>
      </c>
      <c r="G100" s="238">
        <v>2</v>
      </c>
      <c r="H100" s="238">
        <v>6</v>
      </c>
      <c r="I100" s="238" t="s">
        <v>703</v>
      </c>
      <c r="J100" s="239">
        <v>0</v>
      </c>
      <c r="K100" s="240">
        <v>0</v>
      </c>
      <c r="L100" s="241" t="s">
        <v>298</v>
      </c>
      <c r="M100" s="241" t="s">
        <v>319</v>
      </c>
      <c r="N100" s="239">
        <v>0</v>
      </c>
      <c r="O100" s="240">
        <v>0</v>
      </c>
      <c r="P100" s="241" t="s">
        <v>298</v>
      </c>
      <c r="Q100" s="237" t="s">
        <v>319</v>
      </c>
      <c r="R100" s="239">
        <v>0</v>
      </c>
      <c r="S100" s="240">
        <v>0</v>
      </c>
      <c r="T100" s="241" t="s">
        <v>298</v>
      </c>
      <c r="U100" s="241" t="s">
        <v>319</v>
      </c>
    </row>
    <row r="101" spans="1:21" s="83" customFormat="1" ht="45.6" x14ac:dyDescent="0.3">
      <c r="A101" s="233">
        <v>11915</v>
      </c>
      <c r="B101" s="233" t="s">
        <v>111</v>
      </c>
      <c r="C101" s="233" t="s">
        <v>83</v>
      </c>
      <c r="D101" s="233">
        <v>16665</v>
      </c>
      <c r="E101" s="233">
        <v>2026</v>
      </c>
      <c r="F101" s="233" t="s">
        <v>275</v>
      </c>
      <c r="G101" s="233">
        <v>2</v>
      </c>
      <c r="H101" s="233">
        <v>6</v>
      </c>
      <c r="I101" s="233" t="s">
        <v>703</v>
      </c>
      <c r="J101" s="234">
        <v>0</v>
      </c>
      <c r="K101" s="235">
        <v>0</v>
      </c>
      <c r="L101" s="236" t="s">
        <v>298</v>
      </c>
      <c r="M101" s="236" t="s">
        <v>319</v>
      </c>
      <c r="N101" s="234">
        <v>0</v>
      </c>
      <c r="O101" s="235">
        <v>0</v>
      </c>
      <c r="P101" s="236" t="s">
        <v>298</v>
      </c>
      <c r="Q101" s="237" t="s">
        <v>319</v>
      </c>
      <c r="R101" s="234">
        <v>0</v>
      </c>
      <c r="S101" s="235">
        <v>0</v>
      </c>
      <c r="T101" s="236" t="s">
        <v>298</v>
      </c>
      <c r="U101" s="236" t="s">
        <v>319</v>
      </c>
    </row>
    <row r="102" spans="1:21" s="83" customFormat="1" ht="45.6" x14ac:dyDescent="0.3">
      <c r="A102" s="238">
        <v>14422</v>
      </c>
      <c r="B102" s="238" t="s">
        <v>107</v>
      </c>
      <c r="C102" s="238" t="s">
        <v>83</v>
      </c>
      <c r="D102" s="238">
        <v>16665</v>
      </c>
      <c r="E102" s="238">
        <v>2026</v>
      </c>
      <c r="F102" s="238" t="s">
        <v>275</v>
      </c>
      <c r="G102" s="238">
        <v>2</v>
      </c>
      <c r="H102" s="238">
        <v>6</v>
      </c>
      <c r="I102" s="238" t="s">
        <v>703</v>
      </c>
      <c r="J102" s="239">
        <v>0</v>
      </c>
      <c r="K102" s="240">
        <v>0</v>
      </c>
      <c r="L102" s="241" t="s">
        <v>298</v>
      </c>
      <c r="M102" s="241" t="s">
        <v>319</v>
      </c>
      <c r="N102" s="239">
        <v>0</v>
      </c>
      <c r="O102" s="240">
        <v>0</v>
      </c>
      <c r="P102" s="241" t="s">
        <v>298</v>
      </c>
      <c r="Q102" s="237" t="s">
        <v>319</v>
      </c>
      <c r="R102" s="239">
        <v>0</v>
      </c>
      <c r="S102" s="240">
        <v>0</v>
      </c>
      <c r="T102" s="241" t="s">
        <v>298</v>
      </c>
      <c r="U102" s="241" t="s">
        <v>319</v>
      </c>
    </row>
    <row r="103" spans="1:21" s="83" customFormat="1" ht="45.6" x14ac:dyDescent="0.3">
      <c r="A103" s="233">
        <v>53</v>
      </c>
      <c r="B103" s="233" t="s">
        <v>93</v>
      </c>
      <c r="C103" s="233" t="s">
        <v>77</v>
      </c>
      <c r="D103" s="233">
        <v>16665</v>
      </c>
      <c r="E103" s="233">
        <v>2026</v>
      </c>
      <c r="F103" s="233" t="s">
        <v>275</v>
      </c>
      <c r="G103" s="233">
        <v>2</v>
      </c>
      <c r="H103" s="233">
        <v>6</v>
      </c>
      <c r="I103" s="233" t="s">
        <v>703</v>
      </c>
      <c r="J103" s="234">
        <v>675360</v>
      </c>
      <c r="K103" s="235">
        <v>6187</v>
      </c>
      <c r="L103" s="236" t="s">
        <v>298</v>
      </c>
      <c r="M103" s="236" t="s">
        <v>319</v>
      </c>
      <c r="N103" s="234">
        <v>132829</v>
      </c>
      <c r="O103" s="235">
        <v>1887</v>
      </c>
      <c r="P103" s="236" t="s">
        <v>298</v>
      </c>
      <c r="Q103" s="237" t="s">
        <v>319</v>
      </c>
      <c r="R103" s="234">
        <v>0</v>
      </c>
      <c r="S103" s="235">
        <v>0</v>
      </c>
      <c r="T103" s="236" t="s">
        <v>298</v>
      </c>
      <c r="U103" s="236" t="s">
        <v>319</v>
      </c>
    </row>
    <row r="104" spans="1:21" s="83" customFormat="1" ht="45.6" x14ac:dyDescent="0.3">
      <c r="A104" s="238">
        <v>6546</v>
      </c>
      <c r="B104" s="238" t="s">
        <v>96</v>
      </c>
      <c r="C104" s="238" t="s">
        <v>77</v>
      </c>
      <c r="D104" s="238">
        <v>16665</v>
      </c>
      <c r="E104" s="238">
        <v>2026</v>
      </c>
      <c r="F104" s="238" t="s">
        <v>275</v>
      </c>
      <c r="G104" s="238">
        <v>2</v>
      </c>
      <c r="H104" s="238">
        <v>6</v>
      </c>
      <c r="I104" s="238" t="s">
        <v>703</v>
      </c>
      <c r="J104" s="239">
        <v>9902600</v>
      </c>
      <c r="K104" s="240">
        <v>82003</v>
      </c>
      <c r="L104" s="241" t="s">
        <v>298</v>
      </c>
      <c r="M104" s="241" t="s">
        <v>319</v>
      </c>
      <c r="N104" s="239">
        <v>2990519</v>
      </c>
      <c r="O104" s="240">
        <v>60584</v>
      </c>
      <c r="P104" s="241" t="s">
        <v>298</v>
      </c>
      <c r="Q104" s="237" t="s">
        <v>319</v>
      </c>
      <c r="R104" s="239">
        <v>0</v>
      </c>
      <c r="S104" s="240">
        <v>0</v>
      </c>
      <c r="T104" s="241" t="s">
        <v>298</v>
      </c>
      <c r="U104" s="241" t="s">
        <v>319</v>
      </c>
    </row>
    <row r="105" spans="1:21" s="83" customFormat="1" ht="34.200000000000003" x14ac:dyDescent="0.3">
      <c r="A105" s="233">
        <v>11761</v>
      </c>
      <c r="B105" s="233" t="s">
        <v>103</v>
      </c>
      <c r="C105" s="233" t="s">
        <v>83</v>
      </c>
      <c r="D105" s="233">
        <v>16665</v>
      </c>
      <c r="E105" s="233">
        <v>2026</v>
      </c>
      <c r="F105" s="233" t="s">
        <v>275</v>
      </c>
      <c r="G105" s="233">
        <v>2</v>
      </c>
      <c r="H105" s="233">
        <v>6</v>
      </c>
      <c r="I105" s="233" t="s">
        <v>703</v>
      </c>
      <c r="J105" s="234">
        <v>0</v>
      </c>
      <c r="K105" s="235">
        <v>0</v>
      </c>
      <c r="L105" s="236" t="s">
        <v>298</v>
      </c>
      <c r="M105" s="236" t="s">
        <v>319</v>
      </c>
      <c r="N105" s="234">
        <v>0</v>
      </c>
      <c r="O105" s="235">
        <v>0</v>
      </c>
      <c r="P105" s="236" t="s">
        <v>298</v>
      </c>
      <c r="Q105" s="237" t="s">
        <v>319</v>
      </c>
      <c r="R105" s="234">
        <v>0</v>
      </c>
      <c r="S105" s="235">
        <v>0</v>
      </c>
      <c r="T105" s="236" t="s">
        <v>298</v>
      </c>
      <c r="U105" s="236" t="s">
        <v>319</v>
      </c>
    </row>
    <row r="106" spans="1:21" s="83" customFormat="1" ht="34.200000000000003" x14ac:dyDescent="0.3">
      <c r="A106" s="238">
        <v>138</v>
      </c>
      <c r="B106" s="238" t="s">
        <v>101</v>
      </c>
      <c r="C106" s="238" t="s">
        <v>77</v>
      </c>
      <c r="D106" s="238">
        <v>16665</v>
      </c>
      <c r="E106" s="238">
        <v>2026</v>
      </c>
      <c r="F106" s="238" t="s">
        <v>275</v>
      </c>
      <c r="G106" s="238">
        <v>2</v>
      </c>
      <c r="H106" s="238">
        <v>6</v>
      </c>
      <c r="I106" s="238" t="s">
        <v>703</v>
      </c>
      <c r="J106" s="239">
        <v>247592</v>
      </c>
      <c r="K106" s="240">
        <v>2584</v>
      </c>
      <c r="L106" s="241" t="s">
        <v>298</v>
      </c>
      <c r="M106" s="241" t="s">
        <v>319</v>
      </c>
      <c r="N106" s="239">
        <v>253938</v>
      </c>
      <c r="O106" s="240">
        <v>2652</v>
      </c>
      <c r="P106" s="241" t="s">
        <v>298</v>
      </c>
      <c r="Q106" s="237" t="s">
        <v>319</v>
      </c>
      <c r="R106" s="239">
        <v>0</v>
      </c>
      <c r="S106" s="240">
        <v>0</v>
      </c>
      <c r="T106" s="241" t="s">
        <v>298</v>
      </c>
      <c r="U106" s="241" t="s">
        <v>319</v>
      </c>
    </row>
    <row r="107" spans="1:21" s="83" customFormat="1" ht="34.200000000000003" x14ac:dyDescent="0.3">
      <c r="A107" s="233">
        <v>16665</v>
      </c>
      <c r="B107" s="233" t="s">
        <v>90</v>
      </c>
      <c r="C107" s="233" t="s">
        <v>75</v>
      </c>
      <c r="D107" s="233">
        <v>16665</v>
      </c>
      <c r="E107" s="233">
        <v>2026</v>
      </c>
      <c r="F107" s="233" t="s">
        <v>275</v>
      </c>
      <c r="G107" s="233">
        <v>2</v>
      </c>
      <c r="H107" s="233">
        <v>6</v>
      </c>
      <c r="I107" s="233" t="s">
        <v>703</v>
      </c>
      <c r="J107" s="234">
        <v>23609607.699999999</v>
      </c>
      <c r="K107" s="235">
        <v>381055.23</v>
      </c>
      <c r="L107" s="236" t="s">
        <v>298</v>
      </c>
      <c r="M107" s="236" t="s">
        <v>319</v>
      </c>
      <c r="N107" s="234">
        <v>11980710.24</v>
      </c>
      <c r="O107" s="235">
        <v>294323.56</v>
      </c>
      <c r="P107" s="236" t="s">
        <v>298</v>
      </c>
      <c r="Q107" s="237" t="s">
        <v>319</v>
      </c>
      <c r="R107" s="234">
        <v>17442215</v>
      </c>
      <c r="S107" s="235">
        <v>99725</v>
      </c>
      <c r="T107" s="236" t="s">
        <v>298</v>
      </c>
      <c r="U107" s="236" t="s">
        <v>319</v>
      </c>
    </row>
    <row r="108" spans="1:21" s="83" customFormat="1" ht="34.200000000000003" x14ac:dyDescent="0.3">
      <c r="A108" s="238">
        <v>1</v>
      </c>
      <c r="B108" s="238" t="s">
        <v>91</v>
      </c>
      <c r="C108" s="238" t="s">
        <v>77</v>
      </c>
      <c r="D108" s="238">
        <v>16665</v>
      </c>
      <c r="E108" s="238">
        <v>2026</v>
      </c>
      <c r="F108" s="238" t="s">
        <v>275</v>
      </c>
      <c r="G108" s="238">
        <v>2</v>
      </c>
      <c r="H108" s="238">
        <v>6</v>
      </c>
      <c r="I108" s="238" t="s">
        <v>703</v>
      </c>
      <c r="J108" s="239">
        <v>859224.28</v>
      </c>
      <c r="K108" s="240">
        <v>7945.09</v>
      </c>
      <c r="L108" s="241" t="s">
        <v>298</v>
      </c>
      <c r="M108" s="241" t="s">
        <v>319</v>
      </c>
      <c r="N108" s="239">
        <v>268747.65000000002</v>
      </c>
      <c r="O108" s="240">
        <v>3452.5</v>
      </c>
      <c r="P108" s="241" t="s">
        <v>298</v>
      </c>
      <c r="Q108" s="237" t="s">
        <v>319</v>
      </c>
      <c r="R108" s="239">
        <v>0</v>
      </c>
      <c r="S108" s="240">
        <v>0</v>
      </c>
      <c r="T108" s="241" t="s">
        <v>298</v>
      </c>
      <c r="U108" s="241" t="s">
        <v>319</v>
      </c>
    </row>
    <row r="109" spans="1:21" s="83" customFormat="1" ht="57" x14ac:dyDescent="0.3">
      <c r="A109" s="233">
        <v>8655</v>
      </c>
      <c r="B109" s="233" t="s">
        <v>109</v>
      </c>
      <c r="C109" s="233" t="s">
        <v>83</v>
      </c>
      <c r="D109" s="233">
        <v>16665</v>
      </c>
      <c r="E109" s="233">
        <v>2026</v>
      </c>
      <c r="F109" s="233" t="s">
        <v>275</v>
      </c>
      <c r="G109" s="233">
        <v>2</v>
      </c>
      <c r="H109" s="233">
        <v>6</v>
      </c>
      <c r="I109" s="233" t="s">
        <v>703</v>
      </c>
      <c r="J109" s="234">
        <v>0</v>
      </c>
      <c r="K109" s="235">
        <v>0</v>
      </c>
      <c r="L109" s="236" t="s">
        <v>298</v>
      </c>
      <c r="M109" s="236" t="s">
        <v>319</v>
      </c>
      <c r="N109" s="234">
        <v>0</v>
      </c>
      <c r="O109" s="235">
        <v>0</v>
      </c>
      <c r="P109" s="236" t="s">
        <v>298</v>
      </c>
      <c r="Q109" s="237" t="s">
        <v>319</v>
      </c>
      <c r="R109" s="234">
        <v>0</v>
      </c>
      <c r="S109" s="235">
        <v>0</v>
      </c>
      <c r="T109" s="236" t="s">
        <v>298</v>
      </c>
      <c r="U109" s="236" t="s">
        <v>319</v>
      </c>
    </row>
    <row r="110" spans="1:21" s="83" customFormat="1" ht="34.200000000000003" x14ac:dyDescent="0.3">
      <c r="A110" s="238">
        <v>100</v>
      </c>
      <c r="B110" s="238" t="s">
        <v>97</v>
      </c>
      <c r="C110" s="238" t="s">
        <v>77</v>
      </c>
      <c r="D110" s="238">
        <v>16665</v>
      </c>
      <c r="E110" s="238">
        <v>2026</v>
      </c>
      <c r="F110" s="238" t="s">
        <v>275</v>
      </c>
      <c r="G110" s="238">
        <v>2</v>
      </c>
      <c r="H110" s="238">
        <v>6</v>
      </c>
      <c r="I110" s="238" t="s">
        <v>703</v>
      </c>
      <c r="J110" s="239">
        <v>2400696</v>
      </c>
      <c r="K110" s="240">
        <v>21301</v>
      </c>
      <c r="L110" s="241" t="s">
        <v>298</v>
      </c>
      <c r="M110" s="241" t="s">
        <v>319</v>
      </c>
      <c r="N110" s="239">
        <v>2291581</v>
      </c>
      <c r="O110" s="240">
        <v>25783</v>
      </c>
      <c r="P110" s="241" t="s">
        <v>298</v>
      </c>
      <c r="Q110" s="237" t="s">
        <v>319</v>
      </c>
      <c r="R110" s="239">
        <v>4692277</v>
      </c>
      <c r="S110" s="240">
        <v>47084</v>
      </c>
      <c r="T110" s="241" t="s">
        <v>298</v>
      </c>
      <c r="U110" s="241" t="s">
        <v>319</v>
      </c>
    </row>
    <row r="111" spans="1:21" s="83" customFormat="1" ht="45.6" x14ac:dyDescent="0.3">
      <c r="A111" s="233">
        <v>103</v>
      </c>
      <c r="B111" s="233" t="s">
        <v>98</v>
      </c>
      <c r="C111" s="233" t="s">
        <v>77</v>
      </c>
      <c r="D111" s="233">
        <v>16665</v>
      </c>
      <c r="E111" s="233">
        <v>2026</v>
      </c>
      <c r="F111" s="233" t="s">
        <v>275</v>
      </c>
      <c r="G111" s="233">
        <v>2</v>
      </c>
      <c r="H111" s="233">
        <v>6</v>
      </c>
      <c r="I111" s="233" t="s">
        <v>703</v>
      </c>
      <c r="J111" s="234">
        <v>417158</v>
      </c>
      <c r="K111" s="235">
        <v>3831</v>
      </c>
      <c r="L111" s="236" t="s">
        <v>298</v>
      </c>
      <c r="M111" s="236" t="s">
        <v>319</v>
      </c>
      <c r="N111" s="234">
        <v>173190</v>
      </c>
      <c r="O111" s="235">
        <v>1870</v>
      </c>
      <c r="P111" s="236" t="s">
        <v>298</v>
      </c>
      <c r="Q111" s="237" t="s">
        <v>319</v>
      </c>
      <c r="R111" s="234">
        <v>0</v>
      </c>
      <c r="S111" s="235">
        <v>0</v>
      </c>
      <c r="T111" s="236" t="s">
        <v>298</v>
      </c>
      <c r="U111" s="236" t="s">
        <v>319</v>
      </c>
    </row>
    <row r="112" spans="1:21" s="83" customFormat="1" ht="34.200000000000003" x14ac:dyDescent="0.3">
      <c r="A112" s="238">
        <v>14421</v>
      </c>
      <c r="B112" s="238" t="s">
        <v>106</v>
      </c>
      <c r="C112" s="238" t="s">
        <v>83</v>
      </c>
      <c r="D112" s="238">
        <v>16665</v>
      </c>
      <c r="E112" s="238">
        <v>2026</v>
      </c>
      <c r="F112" s="238" t="s">
        <v>275</v>
      </c>
      <c r="G112" s="238">
        <v>2</v>
      </c>
      <c r="H112" s="238">
        <v>6</v>
      </c>
      <c r="I112" s="238" t="s">
        <v>703</v>
      </c>
      <c r="J112" s="239">
        <v>0</v>
      </c>
      <c r="K112" s="240">
        <v>0</v>
      </c>
      <c r="L112" s="241" t="s">
        <v>298</v>
      </c>
      <c r="M112" s="241" t="s">
        <v>319</v>
      </c>
      <c r="N112" s="239">
        <v>0</v>
      </c>
      <c r="O112" s="240">
        <v>0</v>
      </c>
      <c r="P112" s="241" t="s">
        <v>298</v>
      </c>
      <c r="Q112" s="237" t="s">
        <v>319</v>
      </c>
      <c r="R112" s="239">
        <v>1227821</v>
      </c>
      <c r="S112" s="240">
        <v>0</v>
      </c>
      <c r="T112" s="241" t="s">
        <v>298</v>
      </c>
      <c r="U112" s="241" t="s">
        <v>319</v>
      </c>
    </row>
    <row r="113" spans="1:21" s="83" customFormat="1" ht="45.6" x14ac:dyDescent="0.3">
      <c r="A113" s="233">
        <v>9914</v>
      </c>
      <c r="B113" s="233" t="s">
        <v>104</v>
      </c>
      <c r="C113" s="233" t="s">
        <v>83</v>
      </c>
      <c r="D113" s="233">
        <v>16665</v>
      </c>
      <c r="E113" s="233">
        <v>2026</v>
      </c>
      <c r="F113" s="233" t="s">
        <v>275</v>
      </c>
      <c r="G113" s="233">
        <v>2</v>
      </c>
      <c r="H113" s="233">
        <v>6</v>
      </c>
      <c r="I113" s="233" t="s">
        <v>703</v>
      </c>
      <c r="J113" s="234">
        <v>56761</v>
      </c>
      <c r="K113" s="235">
        <v>583</v>
      </c>
      <c r="L113" s="236" t="s">
        <v>298</v>
      </c>
      <c r="M113" s="236" t="s">
        <v>319</v>
      </c>
      <c r="N113" s="234">
        <v>1025259</v>
      </c>
      <c r="O113" s="235">
        <v>7428.11</v>
      </c>
      <c r="P113" s="236" t="s">
        <v>298</v>
      </c>
      <c r="Q113" s="237" t="s">
        <v>319</v>
      </c>
      <c r="R113" s="234">
        <v>11522117</v>
      </c>
      <c r="S113" s="235">
        <v>52641</v>
      </c>
      <c r="T113" s="236" t="s">
        <v>298</v>
      </c>
      <c r="U113" s="236" t="s">
        <v>319</v>
      </c>
    </row>
    <row r="114" spans="1:21" s="83" customFormat="1" ht="45.6" x14ac:dyDescent="0.3">
      <c r="A114" s="238">
        <v>79</v>
      </c>
      <c r="B114" s="238" t="s">
        <v>94</v>
      </c>
      <c r="C114" s="238" t="s">
        <v>77</v>
      </c>
      <c r="D114" s="238">
        <v>16665</v>
      </c>
      <c r="E114" s="238">
        <v>2026</v>
      </c>
      <c r="F114" s="238" t="s">
        <v>275</v>
      </c>
      <c r="G114" s="238">
        <v>2</v>
      </c>
      <c r="H114" s="238">
        <v>6</v>
      </c>
      <c r="I114" s="238" t="s">
        <v>703</v>
      </c>
      <c r="J114" s="239">
        <v>1630086</v>
      </c>
      <c r="K114" s="240">
        <v>16108</v>
      </c>
      <c r="L114" s="241" t="s">
        <v>298</v>
      </c>
      <c r="M114" s="241" t="s">
        <v>319</v>
      </c>
      <c r="N114" s="239">
        <v>1046053</v>
      </c>
      <c r="O114" s="240">
        <v>10833</v>
      </c>
      <c r="P114" s="241" t="s">
        <v>298</v>
      </c>
      <c r="Q114" s="237" t="s">
        <v>319</v>
      </c>
      <c r="R114" s="239">
        <v>0</v>
      </c>
      <c r="S114" s="240">
        <v>0</v>
      </c>
      <c r="T114" s="241" t="s">
        <v>298</v>
      </c>
      <c r="U114" s="241" t="s">
        <v>319</v>
      </c>
    </row>
    <row r="115" spans="1:21" s="83" customFormat="1" ht="45.6" x14ac:dyDescent="0.3">
      <c r="A115" s="233">
        <v>98</v>
      </c>
      <c r="B115" s="233" t="s">
        <v>92</v>
      </c>
      <c r="C115" s="233" t="s">
        <v>77</v>
      </c>
      <c r="D115" s="233">
        <v>16665</v>
      </c>
      <c r="E115" s="233">
        <v>2026</v>
      </c>
      <c r="F115" s="233" t="s">
        <v>275</v>
      </c>
      <c r="G115" s="233">
        <v>2</v>
      </c>
      <c r="H115" s="233">
        <v>6</v>
      </c>
      <c r="I115" s="233" t="s">
        <v>703</v>
      </c>
      <c r="J115" s="234">
        <v>1022047</v>
      </c>
      <c r="K115" s="235">
        <v>10295</v>
      </c>
      <c r="L115" s="236" t="s">
        <v>298</v>
      </c>
      <c r="M115" s="236" t="s">
        <v>319</v>
      </c>
      <c r="N115" s="234">
        <v>130989</v>
      </c>
      <c r="O115" s="235">
        <v>1503</v>
      </c>
      <c r="P115" s="236" t="s">
        <v>298</v>
      </c>
      <c r="Q115" s="237" t="s">
        <v>319</v>
      </c>
      <c r="R115" s="234">
        <v>0</v>
      </c>
      <c r="S115" s="235">
        <v>0</v>
      </c>
      <c r="T115" s="236" t="s">
        <v>298</v>
      </c>
      <c r="U115" s="236" t="s">
        <v>319</v>
      </c>
    </row>
    <row r="116" spans="1:21" s="83" customFormat="1" ht="45.6" x14ac:dyDescent="0.3">
      <c r="A116" s="238">
        <v>11404</v>
      </c>
      <c r="B116" s="238" t="s">
        <v>108</v>
      </c>
      <c r="C116" s="238" t="s">
        <v>83</v>
      </c>
      <c r="D116" s="238">
        <v>16665</v>
      </c>
      <c r="E116" s="238">
        <v>2026</v>
      </c>
      <c r="F116" s="238" t="s">
        <v>275</v>
      </c>
      <c r="G116" s="238">
        <v>2</v>
      </c>
      <c r="H116" s="238">
        <v>6</v>
      </c>
      <c r="I116" s="238" t="s">
        <v>703</v>
      </c>
      <c r="J116" s="239">
        <v>0</v>
      </c>
      <c r="K116" s="240">
        <v>0</v>
      </c>
      <c r="L116" s="241" t="s">
        <v>298</v>
      </c>
      <c r="M116" s="241" t="s">
        <v>319</v>
      </c>
      <c r="N116" s="239">
        <v>32119</v>
      </c>
      <c r="O116" s="240">
        <v>746</v>
      </c>
      <c r="P116" s="241" t="s">
        <v>298</v>
      </c>
      <c r="Q116" s="237" t="s">
        <v>319</v>
      </c>
      <c r="R116" s="239">
        <v>0</v>
      </c>
      <c r="S116" s="240">
        <v>0</v>
      </c>
      <c r="T116" s="241" t="s">
        <v>298</v>
      </c>
      <c r="U116" s="241" t="s">
        <v>319</v>
      </c>
    </row>
    <row r="117" spans="1:21" s="83" customFormat="1" ht="34.200000000000003" x14ac:dyDescent="0.3">
      <c r="A117" s="233">
        <v>3112</v>
      </c>
      <c r="B117" s="233" t="s">
        <v>100</v>
      </c>
      <c r="C117" s="233" t="s">
        <v>77</v>
      </c>
      <c r="D117" s="233">
        <v>16665</v>
      </c>
      <c r="E117" s="233">
        <v>2026</v>
      </c>
      <c r="F117" s="233" t="s">
        <v>275</v>
      </c>
      <c r="G117" s="233">
        <v>2</v>
      </c>
      <c r="H117" s="233">
        <v>6</v>
      </c>
      <c r="I117" s="233" t="s">
        <v>703</v>
      </c>
      <c r="J117" s="234">
        <v>2369811</v>
      </c>
      <c r="K117" s="235">
        <v>21654</v>
      </c>
      <c r="L117" s="236" t="s">
        <v>298</v>
      </c>
      <c r="M117" s="236" t="s">
        <v>319</v>
      </c>
      <c r="N117" s="234">
        <v>906449</v>
      </c>
      <c r="O117" s="235">
        <v>9701</v>
      </c>
      <c r="P117" s="236" t="s">
        <v>298</v>
      </c>
      <c r="Q117" s="237" t="s">
        <v>319</v>
      </c>
      <c r="R117" s="234">
        <v>0</v>
      </c>
      <c r="S117" s="235">
        <v>0</v>
      </c>
      <c r="T117" s="236" t="s">
        <v>298</v>
      </c>
      <c r="U117" s="236" t="s">
        <v>319</v>
      </c>
    </row>
    <row r="118" spans="1:21" ht="34.200000000000003" x14ac:dyDescent="0.3">
      <c r="A118" s="238">
        <v>99</v>
      </c>
      <c r="B118" s="238" t="s">
        <v>173</v>
      </c>
      <c r="C118" s="238" t="s">
        <v>77</v>
      </c>
      <c r="D118" s="238">
        <v>22350</v>
      </c>
      <c r="E118" s="238">
        <v>2026</v>
      </c>
      <c r="F118" s="238" t="s">
        <v>275</v>
      </c>
      <c r="G118" s="238">
        <v>2</v>
      </c>
      <c r="H118" s="238">
        <v>6</v>
      </c>
      <c r="I118" s="238" t="s">
        <v>703</v>
      </c>
      <c r="J118" s="239">
        <v>0</v>
      </c>
      <c r="K118" s="240"/>
      <c r="L118" s="241"/>
      <c r="M118" s="241"/>
      <c r="N118" s="239">
        <v>1622000</v>
      </c>
      <c r="O118" s="240">
        <v>0</v>
      </c>
      <c r="P118" s="241" t="s">
        <v>298</v>
      </c>
      <c r="Q118" s="237"/>
      <c r="R118" s="239">
        <v>0</v>
      </c>
      <c r="S118" s="240">
        <v>0</v>
      </c>
      <c r="T118" s="241"/>
      <c r="U118" s="241"/>
    </row>
    <row r="119" spans="1:21" ht="34.200000000000003" x14ac:dyDescent="0.3">
      <c r="A119" s="233">
        <v>22350</v>
      </c>
      <c r="B119" s="233" t="s">
        <v>174</v>
      </c>
      <c r="C119" s="233" t="s">
        <v>75</v>
      </c>
      <c r="D119" s="233">
        <v>22350</v>
      </c>
      <c r="E119" s="233">
        <v>2026</v>
      </c>
      <c r="F119" s="233" t="s">
        <v>275</v>
      </c>
      <c r="G119" s="233">
        <v>2</v>
      </c>
      <c r="H119" s="233">
        <v>6</v>
      </c>
      <c r="I119" s="233" t="s">
        <v>703</v>
      </c>
      <c r="J119" s="234">
        <v>0</v>
      </c>
      <c r="K119" s="235"/>
      <c r="L119" s="236"/>
      <c r="M119" s="236"/>
      <c r="N119" s="234">
        <v>51374000</v>
      </c>
      <c r="O119" s="235">
        <v>0</v>
      </c>
      <c r="P119" s="236" t="s">
        <v>298</v>
      </c>
      <c r="Q119" s="237"/>
      <c r="R119" s="234">
        <v>0</v>
      </c>
      <c r="S119" s="235">
        <v>0</v>
      </c>
      <c r="T119" s="236"/>
      <c r="U119" s="236"/>
    </row>
    <row r="120" spans="1:21" ht="34.200000000000003" x14ac:dyDescent="0.3">
      <c r="A120" s="238">
        <v>114</v>
      </c>
      <c r="B120" s="238" t="s">
        <v>177</v>
      </c>
      <c r="C120" s="238" t="s">
        <v>77</v>
      </c>
      <c r="D120" s="238">
        <v>22350</v>
      </c>
      <c r="E120" s="238">
        <v>2026</v>
      </c>
      <c r="F120" s="238" t="s">
        <v>275</v>
      </c>
      <c r="G120" s="238">
        <v>2</v>
      </c>
      <c r="H120" s="238">
        <v>6</v>
      </c>
      <c r="I120" s="238" t="s">
        <v>703</v>
      </c>
      <c r="J120" s="239">
        <v>0</v>
      </c>
      <c r="K120" s="240"/>
      <c r="L120" s="241"/>
      <c r="M120" s="241"/>
      <c r="N120" s="239">
        <v>3070000</v>
      </c>
      <c r="O120" s="240">
        <v>0</v>
      </c>
      <c r="P120" s="241" t="s">
        <v>298</v>
      </c>
      <c r="Q120" s="237"/>
      <c r="R120" s="239">
        <v>0</v>
      </c>
      <c r="S120" s="240">
        <v>0</v>
      </c>
      <c r="T120" s="241"/>
      <c r="U120" s="241"/>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57aff42-bc22-40b0-a140-1b9cabdf45a7"/>
    <lcf76f155ced4ddcb4097134ff3c332f xmlns="f1544004-7248-4312-b2d4-855665d7a2f6">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BA6BD6170C9164DA490496C365FD2E6" ma:contentTypeVersion="19" ma:contentTypeDescription="Create a new document." ma:contentTypeScope="" ma:versionID="58d7bfb87253e35f9ac5cf06786e28fa">
  <xsd:schema xmlns:xsd="http://www.w3.org/2001/XMLSchema" xmlns:xs="http://www.w3.org/2001/XMLSchema" xmlns:p="http://schemas.microsoft.com/office/2006/metadata/properties" xmlns:ns2="f1544004-7248-4312-b2d4-855665d7a2f6" xmlns:ns3="257aff42-bc22-40b0-a140-1b9cabdf45a7" targetNamespace="http://schemas.microsoft.com/office/2006/metadata/properties" ma:root="true" ma:fieldsID="d51c1c7ae074abbe9f2d8364ee683b4d" ns2:_="" ns3:_="">
    <xsd:import namespace="f1544004-7248-4312-b2d4-855665d7a2f6"/>
    <xsd:import namespace="257aff42-bc22-40b0-a140-1b9cabdf45a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1544004-7248-4312-b2d4-855665d7a2f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2a9506d4-cf35-41b9-9e25-5432453bcc6f"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ternalName="MediaServiceLocation"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57aff42-bc22-40b0-a140-1b9cabdf45a7"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401c3576-58b5-4642-ab56-07af7ed19efb}" ma:internalName="TaxCatchAll" ma:showField="CatchAllData" ma:web="257aff42-bc22-40b0-a140-1b9cabdf45a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EB185F0-49F9-48EB-948F-5116675E47FC}">
  <ds:schemaRefs>
    <ds:schemaRef ds:uri="http://www.w3.org/XML/1998/namespace"/>
    <ds:schemaRef ds:uri="http://schemas.microsoft.com/office/infopath/2007/PartnerControls"/>
    <ds:schemaRef ds:uri="http://purl.org/dc/terms/"/>
    <ds:schemaRef ds:uri="http://purl.org/dc/dcmitype/"/>
    <ds:schemaRef ds:uri="http://schemas.microsoft.com/office/2006/documentManagement/types"/>
    <ds:schemaRef ds:uri="f1544004-7248-4312-b2d4-855665d7a2f6"/>
    <ds:schemaRef ds:uri="http://schemas.microsoft.com/office/2006/metadata/properties"/>
    <ds:schemaRef ds:uri="http://schemas.openxmlformats.org/package/2006/metadata/core-properties"/>
    <ds:schemaRef ds:uri="257aff42-bc22-40b0-a140-1b9cabdf45a7"/>
    <ds:schemaRef ds:uri="http://purl.org/dc/elements/1.1/"/>
  </ds:schemaRefs>
</ds:datastoreItem>
</file>

<file path=customXml/itemProps2.xml><?xml version="1.0" encoding="utf-8"?>
<ds:datastoreItem xmlns:ds="http://schemas.openxmlformats.org/officeDocument/2006/customXml" ds:itemID="{56D08A4E-D77A-40DA-ABFE-5402284B61B6}">
  <ds:schemaRefs>
    <ds:schemaRef ds:uri="http://schemas.microsoft.com/sharepoint/v3/contenttype/forms"/>
  </ds:schemaRefs>
</ds:datastoreItem>
</file>

<file path=customXml/itemProps3.xml><?xml version="1.0" encoding="utf-8"?>
<ds:datastoreItem xmlns:ds="http://schemas.openxmlformats.org/officeDocument/2006/customXml" ds:itemID="{BD43E1EE-D0DE-4236-8D6E-6C88F598B0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1544004-7248-4312-b2d4-855665d7a2f6"/>
    <ds:schemaRef ds:uri="257aff42-bc22-40b0-a140-1b9cabdf45a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5</vt:i4>
      </vt:variant>
    </vt:vector>
  </HeadingPairs>
  <TitlesOfParts>
    <vt:vector size="22" baseType="lpstr">
      <vt:lpstr>Cover</vt:lpstr>
      <vt:lpstr>Contents</vt:lpstr>
      <vt:lpstr>Report Highlights</vt:lpstr>
      <vt:lpstr>Data Overview </vt:lpstr>
      <vt:lpstr>Current YTD Data Table</vt:lpstr>
      <vt:lpstr>Static Data Tab</vt:lpstr>
      <vt:lpstr>Current YTD Databook</vt:lpstr>
      <vt:lpstr>Current YTD TS Backup</vt:lpstr>
      <vt:lpstr>Current YTD TS Databook</vt:lpstr>
      <vt:lpstr>Technical Appendix</vt:lpstr>
      <vt:lpstr>Checks</vt:lpstr>
      <vt:lpstr>Prior Year Data Table</vt:lpstr>
      <vt:lpstr>Prior Year Data Pull</vt:lpstr>
      <vt:lpstr>Prior Year TS Data Pull</vt:lpstr>
      <vt:lpstr>Prior YTD Data Table</vt:lpstr>
      <vt:lpstr>Prior YTD Data Pull</vt:lpstr>
      <vt:lpstr>Prior YTD TS Data Pull</vt:lpstr>
      <vt:lpstr>'Technical Appendix'!_Hlk146106932</vt:lpstr>
      <vt:lpstr>'Technical Appendix'!_Toc83035340</vt:lpstr>
      <vt:lpstr>'Technical Appendix'!_Toc83035341</vt:lpstr>
      <vt:lpstr>'Technical Appendix'!_Toc83035343</vt:lpstr>
      <vt:lpstr>Contents!Print_Area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Elizabeth Almanzor</dc:creator>
  <cp:keywords/>
  <dc:description/>
  <cp:lastModifiedBy>Alexandra Jones</cp:lastModifiedBy>
  <cp:revision/>
  <cp:lastPrinted>2025-03-24T19:13:53Z</cp:lastPrinted>
  <dcterms:created xsi:type="dcterms:W3CDTF">2024-10-16T18:09:41Z</dcterms:created>
  <dcterms:modified xsi:type="dcterms:W3CDTF">2026-06-26T15:44:16Z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0x0101004BA6BD6170C9164DA490496C365FD2E6</vt:lpwstr>
  </property>
  <property fmtid="{D5CDD505-2E9C-101B-9397-08002B2CF9AE}" pid="3" name="MediaServiceImageTags">
    <vt:lpwstr/>
  </property>
</Properties>
</file>