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75" windowWidth="27795" windowHeight="11775"/>
  </bookViews>
  <sheets>
    <sheet name="Provider Group" sheetId="1" r:id="rId1"/>
    <sheet name="Payer" sheetId="2" r:id="rId2"/>
  </sheets>
  <definedNames>
    <definedName name="_xlnm._FilterDatabase" localSheetId="0" hidden="1">'Provider Group'!$A$7:$O$19</definedName>
  </definedNames>
  <calcPr calcId="145621"/>
</workbook>
</file>

<file path=xl/calcChain.xml><?xml version="1.0" encoding="utf-8"?>
<calcChain xmlns="http://schemas.openxmlformats.org/spreadsheetml/2006/main">
  <c r="D26" i="1" l="1"/>
  <c r="D27" i="1"/>
  <c r="D28" i="1"/>
  <c r="D29" i="1"/>
  <c r="D30" i="1"/>
  <c r="D31" i="1"/>
  <c r="D32" i="1"/>
  <c r="D33" i="1"/>
  <c r="D34" i="1"/>
  <c r="D35" i="1"/>
  <c r="D36" i="1"/>
  <c r="C8" i="2" l="1"/>
  <c r="E10" i="2"/>
  <c r="E9" i="2"/>
  <c r="E8" i="2"/>
  <c r="C9" i="2"/>
  <c r="C10" i="2"/>
  <c r="K18" i="1"/>
  <c r="C53" i="1" s="1"/>
  <c r="K13" i="1"/>
  <c r="K11" i="1"/>
  <c r="C46" i="1" s="1"/>
  <c r="K10" i="1"/>
  <c r="K17" i="1"/>
  <c r="C52" i="1" s="1"/>
  <c r="C45" i="1" l="1"/>
  <c r="C48" i="1"/>
  <c r="K9" i="1"/>
  <c r="K14" i="1"/>
  <c r="C49" i="1" s="1"/>
  <c r="K19" i="1"/>
  <c r="C44" i="1" l="1"/>
  <c r="J10" i="2"/>
  <c r="C54" i="1"/>
  <c r="J54" i="1" s="1"/>
  <c r="H10" i="2"/>
  <c r="B29" i="2" s="1"/>
  <c r="K16" i="1" l="1"/>
  <c r="C51" i="1" s="1"/>
  <c r="K15" i="1"/>
  <c r="K12" i="1"/>
  <c r="G13" i="1"/>
  <c r="G14" i="1"/>
  <c r="L14" i="1" s="1"/>
  <c r="G16" i="1"/>
  <c r="L16" i="1" s="1"/>
  <c r="G9" i="1"/>
  <c r="G15" i="1"/>
  <c r="L15" i="1" s="1"/>
  <c r="G10" i="1"/>
  <c r="G11" i="1"/>
  <c r="L11" i="1" s="1"/>
  <c r="G12" i="1"/>
  <c r="L12" i="1" s="1"/>
  <c r="G17" i="1"/>
  <c r="L17" i="1" s="1"/>
  <c r="G18" i="1"/>
  <c r="L18" i="1" s="1"/>
  <c r="G19" i="1"/>
  <c r="L19" i="1" s="1"/>
  <c r="C50" i="1" l="1"/>
  <c r="C47" i="1"/>
  <c r="I14" i="1"/>
  <c r="C32" i="1"/>
  <c r="C34" i="1"/>
  <c r="C33" i="1"/>
  <c r="C28" i="1"/>
  <c r="C30" i="1"/>
  <c r="C29" i="1"/>
  <c r="C35" i="1"/>
  <c r="C26" i="1"/>
  <c r="C36" i="1"/>
  <c r="C27" i="1"/>
  <c r="C31" i="1"/>
  <c r="D8" i="2"/>
  <c r="F8" i="2" s="1"/>
  <c r="I12" i="1"/>
  <c r="J9" i="2"/>
  <c r="H9" i="2"/>
  <c r="B28" i="2" s="1"/>
  <c r="I11" i="1"/>
  <c r="H8" i="2"/>
  <c r="B27" i="2" s="1"/>
  <c r="J8" i="2"/>
  <c r="L10" i="1"/>
  <c r="I9" i="2" s="1"/>
  <c r="D9" i="2"/>
  <c r="I16" i="1"/>
  <c r="L13" i="1"/>
  <c r="I10" i="2" s="1"/>
  <c r="D10" i="2"/>
  <c r="I9" i="1"/>
  <c r="L9" i="1"/>
  <c r="I8" i="2" s="1"/>
  <c r="I10" i="1"/>
  <c r="I15" i="1"/>
  <c r="I13" i="1"/>
  <c r="I17" i="1"/>
  <c r="I18" i="1"/>
  <c r="I19" i="1"/>
  <c r="G8" i="2" l="1"/>
  <c r="F9" i="2"/>
  <c r="G9" i="2"/>
  <c r="F10" i="2"/>
  <c r="G10" i="2"/>
  <c r="L9" i="2"/>
  <c r="K9" i="2"/>
  <c r="K10" i="2"/>
  <c r="D19" i="2" s="1"/>
  <c r="L10" i="2"/>
  <c r="K8" i="2"/>
  <c r="D17" i="2" s="1"/>
  <c r="L8" i="2"/>
  <c r="C17" i="2"/>
  <c r="C19" i="2"/>
  <c r="C18" i="2"/>
  <c r="N9" i="1"/>
  <c r="F26" i="1" s="1"/>
  <c r="O9" i="1"/>
  <c r="E19" i="2" l="1"/>
  <c r="C29" i="2" s="1"/>
  <c r="E17" i="2"/>
  <c r="E18" i="2"/>
  <c r="C28" i="2" s="1"/>
  <c r="D18" i="2"/>
  <c r="O19" i="1"/>
  <c r="N19" i="1"/>
  <c r="F36" i="1" s="1"/>
  <c r="O18" i="1"/>
  <c r="N18" i="1"/>
  <c r="F35" i="1" s="1"/>
  <c r="O17" i="1"/>
  <c r="N17" i="1"/>
  <c r="F34" i="1" s="1"/>
  <c r="O16" i="1"/>
  <c r="N16" i="1"/>
  <c r="F33" i="1" s="1"/>
  <c r="O15" i="1"/>
  <c r="N15" i="1"/>
  <c r="F32" i="1" s="1"/>
  <c r="O14" i="1"/>
  <c r="N14" i="1"/>
  <c r="F31" i="1" s="1"/>
  <c r="O13" i="1"/>
  <c r="N13" i="1"/>
  <c r="F30" i="1" s="1"/>
  <c r="O12" i="1"/>
  <c r="N12" i="1"/>
  <c r="F29" i="1" s="1"/>
  <c r="O11" i="1"/>
  <c r="N11" i="1"/>
  <c r="F28" i="1" s="1"/>
  <c r="O10" i="1"/>
  <c r="N10" i="1"/>
  <c r="F27" i="1" s="1"/>
  <c r="J10" i="1"/>
  <c r="J11" i="1"/>
  <c r="J12" i="1"/>
  <c r="J13" i="1"/>
  <c r="J14" i="1"/>
  <c r="J15" i="1"/>
  <c r="J16" i="1"/>
  <c r="J17" i="1"/>
  <c r="J18" i="1"/>
  <c r="J19" i="1"/>
  <c r="J9" i="1"/>
  <c r="E26" i="1" s="1"/>
  <c r="D44" i="1" s="1"/>
  <c r="F44" i="1" s="1"/>
  <c r="E28" i="1" l="1"/>
  <c r="D46" i="1" s="1"/>
  <c r="F46" i="1" s="1"/>
  <c r="H46" i="1" s="1"/>
  <c r="E30" i="1"/>
  <c r="D48" i="1" s="1"/>
  <c r="F48" i="1" s="1"/>
  <c r="H48" i="1" s="1"/>
  <c r="E32" i="1"/>
  <c r="D50" i="1" s="1"/>
  <c r="F50" i="1" s="1"/>
  <c r="H50" i="1" s="1"/>
  <c r="E34" i="1"/>
  <c r="D52" i="1" s="1"/>
  <c r="F52" i="1" s="1"/>
  <c r="H52" i="1" s="1"/>
  <c r="E36" i="1"/>
  <c r="D54" i="1" s="1"/>
  <c r="F54" i="1" s="1"/>
  <c r="H54" i="1" s="1"/>
  <c r="H44" i="1"/>
  <c r="J44" i="1" s="1"/>
  <c r="E27" i="1"/>
  <c r="D45" i="1" s="1"/>
  <c r="F45" i="1" s="1"/>
  <c r="H45" i="1" s="1"/>
  <c r="E29" i="1"/>
  <c r="D47" i="1" s="1"/>
  <c r="F47" i="1" s="1"/>
  <c r="H47" i="1" s="1"/>
  <c r="E31" i="1"/>
  <c r="D49" i="1" s="1"/>
  <c r="F49" i="1" s="1"/>
  <c r="H49" i="1" s="1"/>
  <c r="E33" i="1"/>
  <c r="D51" i="1" s="1"/>
  <c r="F51" i="1" s="1"/>
  <c r="H51" i="1" s="1"/>
  <c r="E35" i="1"/>
  <c r="D53" i="1" s="1"/>
  <c r="F53" i="1" s="1"/>
  <c r="H53" i="1" s="1"/>
  <c r="E28" i="2"/>
  <c r="G28" i="2" s="1"/>
  <c r="I28" i="2" s="1"/>
  <c r="E29" i="2"/>
  <c r="G29" i="2" s="1"/>
  <c r="I29" i="2" s="1"/>
  <c r="C27" i="2"/>
  <c r="E27" i="2" l="1"/>
  <c r="G27" i="2" s="1"/>
  <c r="I27" i="2" s="1"/>
  <c r="J45" i="1"/>
  <c r="J48" i="1"/>
  <c r="J49" i="1"/>
  <c r="J52" i="1"/>
  <c r="J47" i="1"/>
  <c r="J50" i="1"/>
  <c r="J53" i="1"/>
  <c r="J51" i="1"/>
  <c r="J46" i="1"/>
</calcChain>
</file>

<file path=xl/sharedStrings.xml><?xml version="1.0" encoding="utf-8"?>
<sst xmlns="http://schemas.openxmlformats.org/spreadsheetml/2006/main" count="198" uniqueCount="58">
  <si>
    <t>Insurance Category</t>
  </si>
  <si>
    <t>Payer A</t>
  </si>
  <si>
    <t>Payer</t>
  </si>
  <si>
    <t>Payer B</t>
  </si>
  <si>
    <t>Payer C</t>
  </si>
  <si>
    <t>Provider Group Data</t>
  </si>
  <si>
    <t>Provider Group</t>
  </si>
  <si>
    <t>N</t>
  </si>
  <si>
    <t>Pediatric?</t>
  </si>
  <si>
    <t>Group A</t>
  </si>
  <si>
    <t>Group B</t>
  </si>
  <si>
    <t>Group C</t>
  </si>
  <si>
    <t>Group D</t>
  </si>
  <si>
    <t>Group E</t>
  </si>
  <si>
    <t>Comm. Full-Claim</t>
  </si>
  <si>
    <t>Member Months</t>
  </si>
  <si>
    <t>Total Expenditures</t>
  </si>
  <si>
    <t>Net Risk Score</t>
  </si>
  <si>
    <t>HSA TME</t>
  </si>
  <si>
    <t>Percent Change in HSA TME</t>
  </si>
  <si>
    <t>PCP Type</t>
  </si>
  <si>
    <t/>
  </si>
  <si>
    <t xml:space="preserve"> =Total Expenditures/ (Member Months*Net Risk Score)</t>
  </si>
  <si>
    <t xml:space="preserve"> =Total Expenditures/ Member Months</t>
  </si>
  <si>
    <t>Share of Member Months</t>
  </si>
  <si>
    <t>Step 3: Determine whether each unique provider group/payer contract meets the referral criteria.</t>
  </si>
  <si>
    <t>H.S.A. TME Growth &gt;= Benchmark</t>
  </si>
  <si>
    <t>è</t>
  </si>
  <si>
    <t>Referred?</t>
  </si>
  <si>
    <t>Payer Data</t>
  </si>
  <si>
    <t>Unadjusted TME</t>
  </si>
  <si>
    <t>Unadjusted</t>
  </si>
  <si>
    <t xml:space="preserve">Step 1: Calculate the Unadjusted TME and HSA TME for each unique provider group/payer contract within a given insurance category across both analysis years. </t>
  </si>
  <si>
    <t>Percent Change in Unadjusted TME</t>
  </si>
  <si>
    <t xml:space="preserve">Step 1: Calculate the Unadjusted TME and HSA TME for each payer within a given insurance category across both analysis years. </t>
  </si>
  <si>
    <t xml:space="preserve"> = If Percent Change in HSA TME &gt;=Benchmark, then YES</t>
  </si>
  <si>
    <t>If No -
H.S.A. TME Growth &gt;= 85% of Benchmark AND Share of Member Months &gt;=2.0%</t>
  </si>
  <si>
    <t xml:space="preserve"> = If Percent Change in HSA TME &gt;=85% Benchmark AND Share of Member Months &gt;=2.0%, then YES</t>
  </si>
  <si>
    <t xml:space="preserve"> = if Percent Change in Unadjusted TME &gt;= 85% of Benchmark, then YES</t>
  </si>
  <si>
    <t>Note: PCP Type 1 identifies data for members who were required to select a primary care provider. In future years, CHIA may incorporate additional PCP Types. For further details, see here: http://www.chiamass.gov/assets/docs/g/chia-ab/16-04.pdf.</t>
  </si>
  <si>
    <t>Network HSA TME Percentile</t>
  </si>
  <si>
    <t>2013-2014</t>
  </si>
  <si>
    <t xml:space="preserve"> =Sum of 2014 Group X Comm. Full Claim Member Months/Sum of all 2014 Comm. Full-Claim Member Months</t>
  </si>
  <si>
    <t>Member Month Threshold</t>
  </si>
  <si>
    <t xml:space="preserve">Step 2: Calculate the provider group share of member months in the most recent analysis year, the payer network HSA TME percentile in the most recent analysis year, and the Unadjusted TME and HSA TME growth rates for each unique provider group/payer contract within a given insurance category. Exclude all provider groups with fewer than 36,000 member months from the payer network HSA TME percentile calculation. </t>
  </si>
  <si>
    <t xml:space="preserve"> = if 2013 or 2014 Member Months &lt; 36,000, then INELIGIBLE for Referral</t>
  </si>
  <si>
    <t xml:space="preserve"> = 2014 HSA TME / 2013 HSA TME -1 </t>
  </si>
  <si>
    <t xml:space="preserve"> = 2014 Unadjusted TME / 2013 Unadjusted TME -1</t>
  </si>
  <si>
    <t>If Yes - 
2014 HSA TME &gt;= 75th Percentile OR Unadjusted TME Growth &gt;= Benchmark</t>
  </si>
  <si>
    <t xml:space="preserve"> = if 2014 Network HSA TME Percentile &gt;= 0.75 OR Percent Change in Unadjusted TME &gt;= Benchmark, then YES</t>
  </si>
  <si>
    <t xml:space="preserve"> = If Column C does not equal INELIGIBLE AND either Column D OR Column H equal YES, then REFER</t>
  </si>
  <si>
    <t xml:space="preserve">If Yes - 
Unadjusted TME Growth &gt;= Benchmark </t>
  </si>
  <si>
    <t xml:space="preserve"> = If Column B does not equal INELIGIBLE AND either Column C OR Column G equal YES, then REFER</t>
  </si>
  <si>
    <t xml:space="preserve"> =Sum of 2014 Payer X Comm. Full-Claim Member Months / Sum of all 2014 Comm. Full-Claim Member Months </t>
  </si>
  <si>
    <t xml:space="preserve"> = Payer X 2014 Unadjusted TME / 2013 Unadjusted TME -1</t>
  </si>
  <si>
    <t xml:space="preserve"> = Payer X 2014 HSA TME / 2013 HSA TME -1 </t>
  </si>
  <si>
    <t xml:space="preserve">Step 2: Calculate the share of member months in the most recent analysis year for the given insurance category and the Unadjusted TME and HSA TME growth rates for each unique payer within a given insurance category. </t>
  </si>
  <si>
    <t xml:space="preserve"> = Calculate Percent Rank (see formula embedded)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</si>
</sst>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164" formatCode="0.0%"/>
    <numFmt numFmtId="165" formatCode="&quot;$&quot;#,##0"/>
    <numFmt numFmtId="166" formatCode="&quot;$&quot;#,##0.00"/>
  </numFmts>
  <fonts count="8" x14ac:knownFonts="1">
    <font>
      <sz val="11"/>
      <color theme="1"/>
      <name val="Calibri"/>
      <family val="2"/>
      <scheme val="minor"/>
    </font>
    <font>
      <b/>
      <sz val="11"/>
      <color theme="1"/>
      <name val="Calibri"/>
      <family val="2"/>
      <scheme val="minor"/>
    </font>
    <font>
      <b/>
      <sz val="16"/>
      <color theme="1"/>
      <name val="Calibri"/>
      <family val="2"/>
      <scheme val="minor"/>
    </font>
    <font>
      <sz val="11"/>
      <color theme="4"/>
      <name val="Calibri"/>
      <family val="2"/>
      <scheme val="minor"/>
    </font>
    <font>
      <sz val="11"/>
      <color theme="9" tint="-0.249977111117893"/>
      <name val="Calibri"/>
      <family val="2"/>
      <scheme val="minor"/>
    </font>
    <font>
      <sz val="11"/>
      <color theme="1"/>
      <name val="Calibri"/>
      <family val="2"/>
      <scheme val="minor"/>
    </font>
    <font>
      <sz val="11"/>
      <color theme="1"/>
      <name val="Wingdings"/>
      <charset val="2"/>
    </font>
    <font>
      <sz val="11"/>
      <color rgb="FFFF000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5" fillId="0" borderId="0" applyFont="0" applyFill="0" applyBorder="0" applyAlignment="0" applyProtection="0"/>
  </cellStyleXfs>
  <cellXfs count="46">
    <xf numFmtId="0" fontId="0" fillId="0" borderId="0" xfId="0"/>
    <xf numFmtId="0" fontId="1" fillId="0" borderId="0" xfId="0" applyFont="1"/>
    <xf numFmtId="0" fontId="2" fillId="0" borderId="0" xfId="0" applyFont="1"/>
    <xf numFmtId="0" fontId="0" fillId="0" borderId="0" xfId="0" applyAlignment="1"/>
    <xf numFmtId="0" fontId="3" fillId="0" borderId="0" xfId="0" applyFont="1"/>
    <xf numFmtId="0" fontId="4" fillId="0" borderId="0" xfId="0" applyFont="1"/>
    <xf numFmtId="2" fontId="3" fillId="0" borderId="0" xfId="0" applyNumberFormat="1" applyFont="1"/>
    <xf numFmtId="0" fontId="0" fillId="0" borderId="0" xfId="0" applyAlignment="1">
      <alignment horizontal="center"/>
    </xf>
    <xf numFmtId="0" fontId="1" fillId="0" borderId="0" xfId="0" applyFont="1" applyAlignment="1">
      <alignment horizontal="center"/>
    </xf>
    <xf numFmtId="3" fontId="0" fillId="0" borderId="0" xfId="0" applyNumberFormat="1"/>
    <xf numFmtId="0" fontId="1" fillId="0" borderId="0" xfId="0" applyFont="1" applyAlignment="1">
      <alignment horizontal="center" vertical="center"/>
    </xf>
    <xf numFmtId="0" fontId="3" fillId="0" borderId="0" xfId="0" applyFont="1" applyAlignment="1">
      <alignment horizontal="center"/>
    </xf>
    <xf numFmtId="6" fontId="0" fillId="0" borderId="0" xfId="0" applyNumberFormat="1" applyAlignment="1">
      <alignment horizontal="center"/>
    </xf>
    <xf numFmtId="3" fontId="0" fillId="0" borderId="0" xfId="0" applyNumberFormat="1" applyAlignment="1">
      <alignment horizontal="center"/>
    </xf>
    <xf numFmtId="8" fontId="0" fillId="0" borderId="0" xfId="0" applyNumberFormat="1"/>
    <xf numFmtId="166" fontId="3" fillId="0" borderId="0" xfId="0" applyNumberFormat="1" applyFont="1" applyAlignment="1">
      <alignment horizontal="center"/>
    </xf>
    <xf numFmtId="165" fontId="0" fillId="0" borderId="0" xfId="0" applyNumberFormat="1" applyAlignment="1">
      <alignment horizontal="center"/>
    </xf>
    <xf numFmtId="164" fontId="3" fillId="0" borderId="0" xfId="1" applyNumberFormat="1" applyFont="1" applyAlignment="1">
      <alignment horizontal="center"/>
    </xf>
    <xf numFmtId="9" fontId="0" fillId="0" borderId="0" xfId="1" applyFont="1"/>
    <xf numFmtId="164" fontId="0" fillId="0" borderId="0" xfId="1" applyNumberFormat="1" applyFont="1"/>
    <xf numFmtId="2" fontId="0" fillId="0" borderId="0" xfId="0" applyNumberFormat="1" applyAlignment="1">
      <alignment horizontal="center"/>
    </xf>
    <xf numFmtId="2" fontId="0" fillId="0" borderId="0" xfId="1" applyNumberFormat="1" applyFont="1"/>
    <xf numFmtId="0" fontId="3" fillId="0" borderId="0" xfId="0" applyFont="1" applyAlignment="1">
      <alignment wrapText="1"/>
    </xf>
    <xf numFmtId="0" fontId="3" fillId="0" borderId="0" xfId="0" applyFont="1" applyAlignment="1">
      <alignment horizontal="left" wrapText="1"/>
    </xf>
    <xf numFmtId="165" fontId="3" fillId="0" borderId="0" xfId="0" applyNumberFormat="1" applyFont="1" applyAlignment="1">
      <alignment horizontal="center"/>
    </xf>
    <xf numFmtId="164" fontId="0" fillId="0" borderId="0" xfId="1" applyNumberFormat="1" applyFont="1" applyAlignment="1">
      <alignment horizontal="center"/>
    </xf>
    <xf numFmtId="164" fontId="4" fillId="0" borderId="0" xfId="1" applyNumberFormat="1" applyFont="1" applyAlignment="1">
      <alignment horizontal="center"/>
    </xf>
    <xf numFmtId="0" fontId="0" fillId="0" borderId="0" xfId="0" applyAlignment="1">
      <alignment horizontal="center"/>
    </xf>
    <xf numFmtId="0" fontId="1" fillId="0" borderId="0" xfId="0" applyFont="1" applyAlignment="1">
      <alignment horizontal="center" vertical="center" wrapText="1"/>
    </xf>
    <xf numFmtId="0" fontId="3" fillId="0" borderId="0" xfId="0" applyFont="1" applyFill="1" applyAlignment="1">
      <alignment horizontal="center"/>
    </xf>
    <xf numFmtId="165" fontId="3" fillId="0" borderId="0" xfId="0" applyNumberFormat="1" applyFont="1" applyFill="1" applyAlignment="1">
      <alignment horizontal="center"/>
    </xf>
    <xf numFmtId="0" fontId="1" fillId="0" borderId="0" xfId="0" applyFont="1" applyAlignment="1">
      <alignment horizont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Alignment="1">
      <alignment horizontal="center"/>
    </xf>
    <xf numFmtId="0" fontId="3" fillId="0" borderId="0" xfId="0" applyFont="1" applyAlignment="1">
      <alignment vertical="center" wrapText="1"/>
    </xf>
    <xf numFmtId="0" fontId="0" fillId="0" borderId="0" xfId="0" applyAlignment="1">
      <alignment vertical="center"/>
    </xf>
    <xf numFmtId="165" fontId="3" fillId="0" borderId="0" xfId="0" applyNumberFormat="1" applyFont="1" applyAlignment="1">
      <alignment vertical="center" wrapText="1"/>
    </xf>
    <xf numFmtId="164" fontId="3" fillId="0" borderId="0" xfId="1" applyNumberFormat="1" applyFont="1" applyAlignment="1">
      <alignment vertical="center" wrapText="1"/>
    </xf>
    <xf numFmtId="0" fontId="7" fillId="0" borderId="0" xfId="0" applyFont="1" applyAlignment="1">
      <alignment horizontal="center"/>
    </xf>
    <xf numFmtId="2" fontId="3" fillId="0" borderId="0" xfId="0" applyNumberFormat="1" applyFont="1" applyAlignment="1">
      <alignment horizontal="center"/>
    </xf>
    <xf numFmtId="4" fontId="0" fillId="0" borderId="0" xfId="1" applyNumberFormat="1" applyFont="1"/>
    <xf numFmtId="0" fontId="0" fillId="0" borderId="0" xfId="0" applyAlignment="1">
      <alignment horizontal="center"/>
    </xf>
    <xf numFmtId="0" fontId="1" fillId="0" borderId="0" xfId="0" applyFont="1" applyAlignment="1">
      <alignment horizontal="center" vertical="center" wrapText="1"/>
    </xf>
    <xf numFmtId="0" fontId="1" fillId="0" borderId="0" xfId="0" applyFont="1" applyAlignment="1">
      <alignment horizontal="center" vertical="center"/>
    </xf>
    <xf numFmtId="0" fontId="6" fillId="0" borderId="0" xfId="0" applyFont="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1"/>
  <sheetViews>
    <sheetView tabSelected="1" zoomScale="70" zoomScaleNormal="70" workbookViewId="0"/>
  </sheetViews>
  <sheetFormatPr defaultRowHeight="15" x14ac:dyDescent="0.25"/>
  <cols>
    <col min="1" max="1" width="13.7109375" customWidth="1"/>
    <col min="2" max="2" width="12.28515625" customWidth="1"/>
    <col min="3" max="3" width="24.140625" customWidth="1"/>
    <col min="4" max="4" width="24" customWidth="1"/>
    <col min="5" max="5" width="23.7109375" customWidth="1"/>
    <col min="6" max="6" width="20.7109375" customWidth="1"/>
    <col min="7" max="7" width="22.5703125" customWidth="1"/>
    <col min="8" max="8" width="27.140625" customWidth="1"/>
    <col min="9" max="9" width="16.42578125" customWidth="1"/>
    <col min="10" max="10" width="21.140625" customWidth="1"/>
    <col min="11" max="11" width="17.5703125" customWidth="1"/>
    <col min="12" max="12" width="16.140625" bestFit="1" customWidth="1"/>
    <col min="13" max="13" width="17.85546875" bestFit="1" customWidth="1"/>
    <col min="14" max="14" width="15.85546875" customWidth="1"/>
    <col min="15" max="15" width="20.85546875" customWidth="1"/>
    <col min="16" max="16" width="19.5703125" customWidth="1"/>
    <col min="17" max="17" width="21" bestFit="1" customWidth="1"/>
  </cols>
  <sheetData>
    <row r="1" spans="1:17" ht="21" x14ac:dyDescent="0.35">
      <c r="A1" s="2" t="s">
        <v>5</v>
      </c>
    </row>
    <row r="2" spans="1:17" x14ac:dyDescent="0.25">
      <c r="A2" t="s">
        <v>39</v>
      </c>
    </row>
    <row r="4" spans="1:17" x14ac:dyDescent="0.25">
      <c r="A4" s="5" t="s">
        <v>32</v>
      </c>
    </row>
    <row r="6" spans="1:17" ht="15" customHeight="1" x14ac:dyDescent="0.25">
      <c r="A6" s="43" t="s">
        <v>6</v>
      </c>
      <c r="B6" s="44" t="s">
        <v>8</v>
      </c>
      <c r="C6" s="44" t="s">
        <v>20</v>
      </c>
      <c r="D6" s="44" t="s">
        <v>2</v>
      </c>
      <c r="E6" s="44" t="s">
        <v>0</v>
      </c>
      <c r="F6" s="42">
        <v>2013</v>
      </c>
      <c r="G6" s="42"/>
      <c r="H6" s="42"/>
      <c r="I6" s="42"/>
      <c r="J6" s="42"/>
      <c r="K6" s="42">
        <v>2014</v>
      </c>
      <c r="L6" s="42"/>
      <c r="M6" s="42"/>
      <c r="N6" s="42"/>
      <c r="O6" s="42"/>
      <c r="Q6" s="3"/>
    </row>
    <row r="7" spans="1:17" ht="30" x14ac:dyDescent="0.25">
      <c r="A7" s="43"/>
      <c r="B7" s="44"/>
      <c r="C7" s="44"/>
      <c r="D7" s="44"/>
      <c r="E7" s="44"/>
      <c r="F7" s="28" t="s">
        <v>15</v>
      </c>
      <c r="G7" s="28" t="s">
        <v>16</v>
      </c>
      <c r="H7" s="28" t="s">
        <v>17</v>
      </c>
      <c r="I7" s="28" t="s">
        <v>30</v>
      </c>
      <c r="J7" s="28" t="s">
        <v>18</v>
      </c>
      <c r="K7" s="28" t="s">
        <v>15</v>
      </c>
      <c r="L7" s="28" t="s">
        <v>16</v>
      </c>
      <c r="M7" s="28" t="s">
        <v>17</v>
      </c>
      <c r="N7" s="28" t="s">
        <v>31</v>
      </c>
      <c r="O7" s="28" t="s">
        <v>18</v>
      </c>
    </row>
    <row r="8" spans="1:17" ht="49.5" customHeight="1" x14ac:dyDescent="0.25">
      <c r="A8" s="10"/>
      <c r="B8" s="10"/>
      <c r="C8" s="10"/>
      <c r="D8" s="10"/>
      <c r="E8" s="10"/>
      <c r="F8" s="1"/>
      <c r="G8" s="1"/>
      <c r="H8" s="1"/>
      <c r="I8" s="22" t="s">
        <v>23</v>
      </c>
      <c r="J8" s="22" t="s">
        <v>22</v>
      </c>
      <c r="K8" s="1"/>
      <c r="L8" s="1"/>
      <c r="M8" s="1"/>
      <c r="N8" s="22" t="s">
        <v>23</v>
      </c>
      <c r="O8" s="22" t="s">
        <v>22</v>
      </c>
    </row>
    <row r="9" spans="1:17" x14ac:dyDescent="0.25">
      <c r="A9" s="7" t="s">
        <v>9</v>
      </c>
      <c r="B9" s="7" t="s">
        <v>7</v>
      </c>
      <c r="C9" s="7">
        <v>1</v>
      </c>
      <c r="D9" s="7" t="s">
        <v>1</v>
      </c>
      <c r="E9" s="7" t="s">
        <v>14</v>
      </c>
      <c r="F9" s="13">
        <v>150000</v>
      </c>
      <c r="G9" s="12">
        <f>F9*390</f>
        <v>58500000</v>
      </c>
      <c r="H9" s="20">
        <v>1.43</v>
      </c>
      <c r="I9" s="15">
        <f t="shared" ref="I9:I19" si="0">G9/F9</f>
        <v>390</v>
      </c>
      <c r="J9" s="15">
        <f t="shared" ref="J9:J19" si="1">G9/(F9*H9)</f>
        <v>272.72727272727275</v>
      </c>
      <c r="K9" s="13">
        <f>ROUNDDOWN(F9*1.04, -2)</f>
        <v>156000</v>
      </c>
      <c r="L9" s="16">
        <f>ROUNDDOWN(G9*1.041, -2)</f>
        <v>60898500</v>
      </c>
      <c r="M9" s="27">
        <v>1.48</v>
      </c>
      <c r="N9" s="15">
        <f t="shared" ref="N9:N19" si="2">L9/K9</f>
        <v>390.375</v>
      </c>
      <c r="O9" s="15">
        <f t="shared" ref="O9:O19" si="3">L9/(K9*M9)</f>
        <v>263.76689189189187</v>
      </c>
    </row>
    <row r="10" spans="1:17" x14ac:dyDescent="0.25">
      <c r="A10" s="7" t="s">
        <v>9</v>
      </c>
      <c r="B10" s="7" t="s">
        <v>7</v>
      </c>
      <c r="C10" s="7">
        <v>1</v>
      </c>
      <c r="D10" s="7" t="s">
        <v>3</v>
      </c>
      <c r="E10" s="7" t="s">
        <v>14</v>
      </c>
      <c r="F10" s="13">
        <v>600000</v>
      </c>
      <c r="G10" s="12">
        <f>F10*425</f>
        <v>255000000</v>
      </c>
      <c r="H10" s="20">
        <v>1.05</v>
      </c>
      <c r="I10" s="15">
        <f t="shared" si="0"/>
        <v>425</v>
      </c>
      <c r="J10" s="15">
        <f t="shared" si="1"/>
        <v>404.76190476190476</v>
      </c>
      <c r="K10" s="13">
        <f>ROUNDDOWN(F10*0.98, -2)</f>
        <v>588000</v>
      </c>
      <c r="L10" s="16">
        <f>ROUNDDOWN(G10*0.95, -2)</f>
        <v>242250000</v>
      </c>
      <c r="M10" s="27">
        <v>1.1100000000000001</v>
      </c>
      <c r="N10" s="15">
        <f t="shared" si="2"/>
        <v>411.98979591836735</v>
      </c>
      <c r="O10" s="15">
        <f t="shared" si="3"/>
        <v>371.16197830483543</v>
      </c>
    </row>
    <row r="11" spans="1:17" x14ac:dyDescent="0.25">
      <c r="A11" s="7" t="s">
        <v>10</v>
      </c>
      <c r="B11" s="7" t="s">
        <v>7</v>
      </c>
      <c r="C11" s="7">
        <v>1</v>
      </c>
      <c r="D11" s="7" t="s">
        <v>1</v>
      </c>
      <c r="E11" s="7" t="s">
        <v>14</v>
      </c>
      <c r="F11" s="13">
        <v>250000</v>
      </c>
      <c r="G11" s="12">
        <f>F11*415</f>
        <v>103750000</v>
      </c>
      <c r="H11" s="20">
        <v>1.66</v>
      </c>
      <c r="I11" s="15">
        <f t="shared" si="0"/>
        <v>415</v>
      </c>
      <c r="J11" s="15">
        <f t="shared" si="1"/>
        <v>250</v>
      </c>
      <c r="K11" s="13">
        <f>ROUNDDOWN(F11*0.98, -2)</f>
        <v>245000</v>
      </c>
      <c r="L11" s="16">
        <f>ROUNDDOWN(G11*0.995, -2)</f>
        <v>103231200</v>
      </c>
      <c r="M11" s="27">
        <v>1.74</v>
      </c>
      <c r="N11" s="15">
        <f t="shared" si="2"/>
        <v>421.3518367346939</v>
      </c>
      <c r="O11" s="15">
        <f t="shared" si="3"/>
        <v>242.15622800844477</v>
      </c>
    </row>
    <row r="12" spans="1:17" x14ac:dyDescent="0.25">
      <c r="A12" s="7" t="s">
        <v>10</v>
      </c>
      <c r="B12" s="7" t="s">
        <v>7</v>
      </c>
      <c r="C12" s="7">
        <v>1</v>
      </c>
      <c r="D12" s="7" t="s">
        <v>3</v>
      </c>
      <c r="E12" s="7" t="s">
        <v>14</v>
      </c>
      <c r="F12" s="13">
        <v>1000000</v>
      </c>
      <c r="G12" s="12">
        <f>F12*455</f>
        <v>455000000</v>
      </c>
      <c r="H12" s="20">
        <v>1.48</v>
      </c>
      <c r="I12" s="15">
        <f t="shared" si="0"/>
        <v>455</v>
      </c>
      <c r="J12" s="15">
        <f t="shared" si="1"/>
        <v>307.43243243243245</v>
      </c>
      <c r="K12" s="13">
        <f>ROUNDDOWN(F12*1.05, -2)</f>
        <v>1050000</v>
      </c>
      <c r="L12" s="16">
        <f>ROUNDDOWN(G12*1.105, -2)</f>
        <v>502775000</v>
      </c>
      <c r="M12" s="27">
        <v>1.54</v>
      </c>
      <c r="N12" s="15">
        <f t="shared" si="2"/>
        <v>478.83333333333331</v>
      </c>
      <c r="O12" s="15">
        <f t="shared" si="3"/>
        <v>310.93073593073592</v>
      </c>
    </row>
    <row r="13" spans="1:17" x14ac:dyDescent="0.25">
      <c r="A13" s="7" t="s">
        <v>10</v>
      </c>
      <c r="B13" s="7" t="s">
        <v>7</v>
      </c>
      <c r="C13" s="7">
        <v>1</v>
      </c>
      <c r="D13" s="7" t="s">
        <v>4</v>
      </c>
      <c r="E13" s="7" t="s">
        <v>14</v>
      </c>
      <c r="F13" s="13">
        <v>100000</v>
      </c>
      <c r="G13" s="12">
        <f>F13*350</f>
        <v>35000000</v>
      </c>
      <c r="H13" s="20">
        <v>1.28</v>
      </c>
      <c r="I13" s="15">
        <f t="shared" si="0"/>
        <v>350</v>
      </c>
      <c r="J13" s="15">
        <f t="shared" si="1"/>
        <v>273.4375</v>
      </c>
      <c r="K13" s="13">
        <f>ROUNDDOWN(F13*1.025, -2)</f>
        <v>102500</v>
      </c>
      <c r="L13" s="16">
        <f>ROUNDDOWN(G13*1.099, -2)</f>
        <v>38465000</v>
      </c>
      <c r="M13" s="27">
        <v>1.31</v>
      </c>
      <c r="N13" s="15">
        <f t="shared" si="2"/>
        <v>375.26829268292681</v>
      </c>
      <c r="O13" s="15">
        <f t="shared" si="3"/>
        <v>286.46434555948611</v>
      </c>
    </row>
    <row r="14" spans="1:17" x14ac:dyDescent="0.25">
      <c r="A14" s="7" t="s">
        <v>11</v>
      </c>
      <c r="B14" s="7" t="s">
        <v>7</v>
      </c>
      <c r="C14" s="7">
        <v>1</v>
      </c>
      <c r="D14" s="7" t="s">
        <v>3</v>
      </c>
      <c r="E14" s="7" t="s">
        <v>14</v>
      </c>
      <c r="F14" s="13">
        <v>60000</v>
      </c>
      <c r="G14" s="12">
        <f>F14*400</f>
        <v>24000000</v>
      </c>
      <c r="H14" s="20">
        <v>1.92</v>
      </c>
      <c r="I14" s="15">
        <f t="shared" si="0"/>
        <v>400</v>
      </c>
      <c r="J14" s="15">
        <f t="shared" si="1"/>
        <v>208.33333333333334</v>
      </c>
      <c r="K14" s="13">
        <f>ROUNDDOWN(F14*1.03, -2)</f>
        <v>61800</v>
      </c>
      <c r="L14" s="16">
        <f>ROUNDDOWN(G14*1.05, -2)</f>
        <v>25200000</v>
      </c>
      <c r="M14" s="27">
        <v>1.62</v>
      </c>
      <c r="N14" s="15">
        <f t="shared" si="2"/>
        <v>407.76699029126212</v>
      </c>
      <c r="O14" s="15">
        <f t="shared" si="3"/>
        <v>251.70801869830996</v>
      </c>
    </row>
    <row r="15" spans="1:17" x14ac:dyDescent="0.25">
      <c r="A15" s="7" t="s">
        <v>12</v>
      </c>
      <c r="B15" s="7" t="s">
        <v>7</v>
      </c>
      <c r="C15" s="7">
        <v>1</v>
      </c>
      <c r="D15" s="7" t="s">
        <v>1</v>
      </c>
      <c r="E15" s="7" t="s">
        <v>14</v>
      </c>
      <c r="F15" s="13">
        <v>400000</v>
      </c>
      <c r="G15" s="12">
        <f>F15*375</f>
        <v>150000000</v>
      </c>
      <c r="H15" s="20">
        <v>1.44</v>
      </c>
      <c r="I15" s="15">
        <f t="shared" si="0"/>
        <v>375</v>
      </c>
      <c r="J15" s="15">
        <f t="shared" si="1"/>
        <v>260.41666666666669</v>
      </c>
      <c r="K15" s="13">
        <f>ROUNDDOWN(F15*1.08, -2)</f>
        <v>432000</v>
      </c>
      <c r="L15" s="16">
        <f>ROUNDDOWN(G15*1.185, -2)</f>
        <v>177750000</v>
      </c>
      <c r="M15" s="27">
        <v>1.53</v>
      </c>
      <c r="N15" s="15">
        <f t="shared" si="2"/>
        <v>411.45833333333331</v>
      </c>
      <c r="O15" s="15">
        <f t="shared" si="3"/>
        <v>268.92701525054468</v>
      </c>
    </row>
    <row r="16" spans="1:17" x14ac:dyDescent="0.25">
      <c r="A16" s="7" t="s">
        <v>12</v>
      </c>
      <c r="B16" s="7" t="s">
        <v>7</v>
      </c>
      <c r="C16" s="7">
        <v>1</v>
      </c>
      <c r="D16" s="7" t="s">
        <v>3</v>
      </c>
      <c r="E16" s="7" t="s">
        <v>14</v>
      </c>
      <c r="F16" s="13">
        <v>500000</v>
      </c>
      <c r="G16" s="12">
        <f>F16*475</f>
        <v>237500000</v>
      </c>
      <c r="H16" s="20">
        <v>1.63</v>
      </c>
      <c r="I16" s="15">
        <f t="shared" si="0"/>
        <v>475</v>
      </c>
      <c r="J16" s="15">
        <f t="shared" si="1"/>
        <v>291.41104294478527</v>
      </c>
      <c r="K16" s="13">
        <f>ROUNDDOWN(F16*1.005, -2)</f>
        <v>502500</v>
      </c>
      <c r="L16" s="16">
        <f>ROUNDDOWN(G16*1.01, -2)</f>
        <v>239875000</v>
      </c>
      <c r="M16" s="27">
        <v>1.7</v>
      </c>
      <c r="N16" s="15">
        <f t="shared" si="2"/>
        <v>477.36318407960198</v>
      </c>
      <c r="O16" s="15">
        <f t="shared" si="3"/>
        <v>280.80187298800115</v>
      </c>
    </row>
    <row r="17" spans="1:15" x14ac:dyDescent="0.25">
      <c r="A17" s="7" t="s">
        <v>12</v>
      </c>
      <c r="B17" s="7" t="s">
        <v>7</v>
      </c>
      <c r="C17" s="7">
        <v>1</v>
      </c>
      <c r="D17" s="7" t="s">
        <v>4</v>
      </c>
      <c r="E17" s="7" t="s">
        <v>14</v>
      </c>
      <c r="F17" s="13">
        <v>40000</v>
      </c>
      <c r="G17" s="12">
        <f>F17*315</f>
        <v>12600000</v>
      </c>
      <c r="H17" s="20">
        <v>1.62</v>
      </c>
      <c r="I17" s="15">
        <f t="shared" si="0"/>
        <v>315</v>
      </c>
      <c r="J17" s="15">
        <f t="shared" si="1"/>
        <v>194.44444444444443</v>
      </c>
      <c r="K17" s="13">
        <f>ROUNDDOWN(F17*1.15, -2)</f>
        <v>46000</v>
      </c>
      <c r="L17" s="16">
        <f>ROUNDDOWN(G17*1.21, -2)</f>
        <v>15246000</v>
      </c>
      <c r="M17" s="27">
        <v>1.72</v>
      </c>
      <c r="N17" s="15">
        <f t="shared" si="2"/>
        <v>331.43478260869563</v>
      </c>
      <c r="O17" s="15">
        <f t="shared" si="3"/>
        <v>192.69464105156723</v>
      </c>
    </row>
    <row r="18" spans="1:15" x14ac:dyDescent="0.25">
      <c r="A18" s="7" t="s">
        <v>13</v>
      </c>
      <c r="B18" s="7" t="s">
        <v>7</v>
      </c>
      <c r="C18" s="7">
        <v>1</v>
      </c>
      <c r="D18" s="7" t="s">
        <v>1</v>
      </c>
      <c r="E18" s="7" t="s">
        <v>14</v>
      </c>
      <c r="F18" s="13">
        <v>200000</v>
      </c>
      <c r="G18" s="12">
        <f>F18*365</f>
        <v>73000000</v>
      </c>
      <c r="H18" s="20">
        <v>1.53</v>
      </c>
      <c r="I18" s="15">
        <f t="shared" si="0"/>
        <v>365</v>
      </c>
      <c r="J18" s="15">
        <f t="shared" si="1"/>
        <v>238.56209150326796</v>
      </c>
      <c r="K18" s="13">
        <f>ROUNDDOWN(F18*0.93, -2)</f>
        <v>186000</v>
      </c>
      <c r="L18" s="16">
        <f>ROUNDDOWN(G18*0.925, -2)</f>
        <v>67525000</v>
      </c>
      <c r="M18" s="27">
        <v>1.65</v>
      </c>
      <c r="N18" s="15">
        <f t="shared" si="2"/>
        <v>363.03763440860217</v>
      </c>
      <c r="O18" s="15">
        <f t="shared" si="3"/>
        <v>220.02280873248614</v>
      </c>
    </row>
    <row r="19" spans="1:15" x14ac:dyDescent="0.25">
      <c r="A19" s="7" t="s">
        <v>13</v>
      </c>
      <c r="B19" s="7" t="s">
        <v>7</v>
      </c>
      <c r="C19" s="7">
        <v>1</v>
      </c>
      <c r="D19" s="7" t="s">
        <v>4</v>
      </c>
      <c r="E19" s="7" t="s">
        <v>14</v>
      </c>
      <c r="F19" s="13">
        <v>12000</v>
      </c>
      <c r="G19" s="12">
        <f>F19*265</f>
        <v>3180000</v>
      </c>
      <c r="H19" s="20">
        <v>1.57</v>
      </c>
      <c r="I19" s="15">
        <f t="shared" si="0"/>
        <v>265</v>
      </c>
      <c r="J19" s="15">
        <f t="shared" si="1"/>
        <v>168.78980891719746</v>
      </c>
      <c r="K19" s="13">
        <f>ROUNDDOWN(F19*2, -2)</f>
        <v>24000</v>
      </c>
      <c r="L19" s="16">
        <f>ROUNDDOWN(G19*2.8, -2)</f>
        <v>8904000</v>
      </c>
      <c r="M19" s="27">
        <v>1.58</v>
      </c>
      <c r="N19" s="15">
        <f t="shared" si="2"/>
        <v>371</v>
      </c>
      <c r="O19" s="15">
        <f t="shared" si="3"/>
        <v>234.81012658227849</v>
      </c>
    </row>
    <row r="20" spans="1:15" x14ac:dyDescent="0.25">
      <c r="F20" s="9"/>
      <c r="G20" s="9"/>
      <c r="H20" s="14"/>
      <c r="L20" s="9"/>
      <c r="M20" s="9"/>
      <c r="N20" s="14"/>
    </row>
    <row r="21" spans="1:15" x14ac:dyDescent="0.25">
      <c r="A21" s="5" t="s">
        <v>44</v>
      </c>
      <c r="N21" s="19"/>
    </row>
    <row r="22" spans="1:15" x14ac:dyDescent="0.25">
      <c r="A22" s="5"/>
      <c r="N22" s="19"/>
    </row>
    <row r="23" spans="1:15" ht="15" customHeight="1" x14ac:dyDescent="0.25">
      <c r="A23" s="43" t="s">
        <v>6</v>
      </c>
      <c r="B23" s="44" t="s">
        <v>2</v>
      </c>
      <c r="C23" s="42">
        <v>2014</v>
      </c>
      <c r="D23" s="42"/>
      <c r="E23" s="42" t="s">
        <v>41</v>
      </c>
      <c r="F23" s="42"/>
      <c r="N23" s="19"/>
    </row>
    <row r="24" spans="1:15" ht="30" x14ac:dyDescent="0.25">
      <c r="A24" s="43"/>
      <c r="B24" s="44"/>
      <c r="C24" s="31" t="s">
        <v>24</v>
      </c>
      <c r="D24" s="31" t="s">
        <v>40</v>
      </c>
      <c r="E24" s="31" t="s">
        <v>19</v>
      </c>
      <c r="F24" s="31" t="s">
        <v>33</v>
      </c>
      <c r="H24" s="21"/>
      <c r="I24" s="19"/>
      <c r="N24" s="19"/>
    </row>
    <row r="25" spans="1:15" ht="78" customHeight="1" x14ac:dyDescent="0.25">
      <c r="A25" s="10"/>
      <c r="B25" s="10"/>
      <c r="C25" s="23" t="s">
        <v>42</v>
      </c>
      <c r="D25" s="23" t="s">
        <v>57</v>
      </c>
      <c r="E25" s="22" t="s">
        <v>46</v>
      </c>
      <c r="F25" s="22" t="s">
        <v>47</v>
      </c>
      <c r="H25" s="18"/>
      <c r="I25" s="19"/>
      <c r="N25" s="19"/>
    </row>
    <row r="26" spans="1:15" x14ac:dyDescent="0.25">
      <c r="A26" s="7" t="s">
        <v>9</v>
      </c>
      <c r="B26" s="7" t="s">
        <v>1</v>
      </c>
      <c r="C26" s="17">
        <f>SUMIF($A$9:$A$19, "="&amp;$A26, $K$9:$K$19)/SUM($K$9:$K$19)</f>
        <v>0.21922328952796274</v>
      </c>
      <c r="D26" s="40">
        <f>IF(K9&lt;36000, "NA", ((COUNTIFS($D$9:$D$19, D9, $K$9:$K$19, "&gt;=36000")-1)-COUNTIFS($D$9:$D$19, D9, $K$9:$K$19, "&gt;=36000", $O$9:$O$19, "&gt;"&amp;O9))/(COUNTIFS($D$9:$D$19, D9, $K$9:$K$19, "&gt;=36000")-1))</f>
        <v>0.66666666666666663</v>
      </c>
      <c r="E26" s="17">
        <f>O9/J9-1</f>
        <v>-3.2854729729729915E-2</v>
      </c>
      <c r="F26" s="17">
        <f>N9/I9-1</f>
        <v>9.6153846153845812E-4</v>
      </c>
      <c r="H26" s="41"/>
      <c r="I26" s="21"/>
      <c r="N26" s="19"/>
    </row>
    <row r="27" spans="1:15" x14ac:dyDescent="0.25">
      <c r="A27" s="7" t="s">
        <v>9</v>
      </c>
      <c r="B27" s="7" t="s">
        <v>3</v>
      </c>
      <c r="C27" s="17">
        <f t="shared" ref="C27:C36" si="4">SUMIF($A$9:$A$19, "="&amp;$A27, $K$9:$K$19)/SUM($K$9:$K$19)</f>
        <v>0.21922328952796274</v>
      </c>
      <c r="D27" s="40">
        <f t="shared" ref="D27:D36" si="5">IF(K10&lt;36000, "NA", ((COUNTIFS($D$9:$D$19, D10, $K$9:$K$19, "&gt;=36000")-1)-COUNTIFS($D$9:$D$19, D10, $K$9:$K$19, "&gt;=36000", $O$9:$O$19, "&gt;"&amp;O10))/(COUNTIFS($D$9:$D$19, D10, $K$9:$K$19, "&gt;=36000")-1))</f>
        <v>1</v>
      </c>
      <c r="E27" s="17">
        <f t="shared" ref="E27:E36" si="6">O10/J10-1</f>
        <v>-8.3011583011583068E-2</v>
      </c>
      <c r="F27" s="17">
        <f t="shared" ref="F27:F36" si="7">N10/I10-1</f>
        <v>-3.0612244897959218E-2</v>
      </c>
      <c r="H27" s="41"/>
      <c r="I27" s="21"/>
      <c r="N27" s="19"/>
    </row>
    <row r="28" spans="1:15" x14ac:dyDescent="0.25">
      <c r="A28" s="7" t="s">
        <v>10</v>
      </c>
      <c r="B28" s="7" t="s">
        <v>1</v>
      </c>
      <c r="C28" s="17">
        <f t="shared" si="4"/>
        <v>0.41178030526253756</v>
      </c>
      <c r="D28" s="40">
        <f t="shared" si="5"/>
        <v>0.33333333333333331</v>
      </c>
      <c r="E28" s="17">
        <f t="shared" si="6"/>
        <v>-3.1375087966220905E-2</v>
      </c>
      <c r="F28" s="17">
        <f t="shared" si="7"/>
        <v>1.5305630686009319E-2</v>
      </c>
      <c r="H28" s="41"/>
      <c r="I28" s="21"/>
      <c r="N28" s="19"/>
    </row>
    <row r="29" spans="1:15" x14ac:dyDescent="0.25">
      <c r="A29" s="7" t="s">
        <v>10</v>
      </c>
      <c r="B29" s="7" t="s">
        <v>3</v>
      </c>
      <c r="C29" s="17">
        <f t="shared" si="4"/>
        <v>0.41178030526253756</v>
      </c>
      <c r="D29" s="40">
        <f t="shared" si="5"/>
        <v>0.66666666666666663</v>
      </c>
      <c r="E29" s="17">
        <f t="shared" si="6"/>
        <v>1.1379097093382695E-2</v>
      </c>
      <c r="F29" s="17">
        <f t="shared" si="7"/>
        <v>5.2380952380952417E-2</v>
      </c>
      <c r="H29" s="41"/>
      <c r="I29" s="21"/>
      <c r="N29" s="19"/>
    </row>
    <row r="30" spans="1:15" x14ac:dyDescent="0.25">
      <c r="A30" s="7" t="s">
        <v>10</v>
      </c>
      <c r="B30" s="7" t="s">
        <v>4</v>
      </c>
      <c r="C30" s="17">
        <f t="shared" si="4"/>
        <v>0.41178030526253756</v>
      </c>
      <c r="D30" s="40">
        <f t="shared" si="5"/>
        <v>1</v>
      </c>
      <c r="E30" s="17">
        <f t="shared" si="6"/>
        <v>4.7641035188977776E-2</v>
      </c>
      <c r="F30" s="17">
        <f t="shared" si="7"/>
        <v>7.2195121951219354E-2</v>
      </c>
      <c r="H30" s="41"/>
      <c r="I30" s="19"/>
      <c r="N30" s="19"/>
    </row>
    <row r="31" spans="1:15" x14ac:dyDescent="0.25">
      <c r="A31" s="7" t="s">
        <v>11</v>
      </c>
      <c r="B31" s="7" t="s">
        <v>3</v>
      </c>
      <c r="C31" s="17">
        <f t="shared" si="4"/>
        <v>1.820967646885497E-2</v>
      </c>
      <c r="D31" s="40">
        <f t="shared" si="5"/>
        <v>0</v>
      </c>
      <c r="E31" s="17">
        <f t="shared" si="6"/>
        <v>0.20819848975188782</v>
      </c>
      <c r="F31" s="17">
        <f t="shared" si="7"/>
        <v>1.9417475728155331E-2</v>
      </c>
      <c r="H31" s="41"/>
      <c r="I31" s="19"/>
      <c r="N31" s="19"/>
    </row>
    <row r="32" spans="1:15" x14ac:dyDescent="0.25">
      <c r="A32" s="7" t="s">
        <v>12</v>
      </c>
      <c r="B32" s="7" t="s">
        <v>1</v>
      </c>
      <c r="C32" s="17">
        <f t="shared" si="4"/>
        <v>0.28890918734162296</v>
      </c>
      <c r="D32" s="40">
        <f t="shared" si="5"/>
        <v>1</v>
      </c>
      <c r="E32" s="17">
        <f t="shared" si="6"/>
        <v>3.2679738562091609E-2</v>
      </c>
      <c r="F32" s="17">
        <f t="shared" si="7"/>
        <v>9.7222222222222099E-2</v>
      </c>
      <c r="H32" s="41"/>
      <c r="I32" s="19"/>
      <c r="N32" s="19"/>
    </row>
    <row r="33" spans="1:14" x14ac:dyDescent="0.25">
      <c r="A33" s="7" t="s">
        <v>12</v>
      </c>
      <c r="B33" s="7" t="s">
        <v>3</v>
      </c>
      <c r="C33" s="17">
        <f t="shared" si="4"/>
        <v>0.28890918734162296</v>
      </c>
      <c r="D33" s="40">
        <f t="shared" si="5"/>
        <v>0.33333333333333331</v>
      </c>
      <c r="E33" s="17">
        <f t="shared" si="6"/>
        <v>-3.6406204272753873E-2</v>
      </c>
      <c r="F33" s="17">
        <f t="shared" si="7"/>
        <v>4.9751243781093191E-3</v>
      </c>
      <c r="H33" s="41"/>
      <c r="I33" s="19"/>
      <c r="N33" s="19"/>
    </row>
    <row r="34" spans="1:14" x14ac:dyDescent="0.25">
      <c r="A34" s="7" t="s">
        <v>12</v>
      </c>
      <c r="B34" s="7" t="s">
        <v>4</v>
      </c>
      <c r="C34" s="17">
        <f t="shared" si="4"/>
        <v>0.28890918734162296</v>
      </c>
      <c r="D34" s="40">
        <f t="shared" si="5"/>
        <v>0</v>
      </c>
      <c r="E34" s="17">
        <f t="shared" si="6"/>
        <v>-8.9989888776541571E-3</v>
      </c>
      <c r="F34" s="17">
        <f t="shared" si="7"/>
        <v>5.2173913043478182E-2</v>
      </c>
      <c r="H34" s="41"/>
      <c r="I34" s="19"/>
      <c r="N34" s="19"/>
    </row>
    <row r="35" spans="1:14" x14ac:dyDescent="0.25">
      <c r="A35" s="7" t="s">
        <v>13</v>
      </c>
      <c r="B35" s="7" t="s">
        <v>1</v>
      </c>
      <c r="C35" s="17">
        <f t="shared" si="4"/>
        <v>6.1877541399021747E-2</v>
      </c>
      <c r="D35" s="40">
        <f t="shared" si="5"/>
        <v>0</v>
      </c>
      <c r="E35" s="17">
        <f t="shared" si="6"/>
        <v>-7.7712609970674529E-2</v>
      </c>
      <c r="F35" s="17">
        <f t="shared" si="7"/>
        <v>-5.3763440860213896E-3</v>
      </c>
      <c r="H35" s="41"/>
      <c r="I35" s="19"/>
      <c r="N35" s="19"/>
    </row>
    <row r="36" spans="1:14" x14ac:dyDescent="0.25">
      <c r="A36" s="7" t="s">
        <v>13</v>
      </c>
      <c r="B36" s="7" t="s">
        <v>4</v>
      </c>
      <c r="C36" s="17">
        <f t="shared" si="4"/>
        <v>6.1877541399021747E-2</v>
      </c>
      <c r="D36" s="40" t="str">
        <f t="shared" si="5"/>
        <v>NA</v>
      </c>
      <c r="E36" s="17">
        <f t="shared" si="6"/>
        <v>0.39113924050632898</v>
      </c>
      <c r="F36" s="17">
        <f t="shared" si="7"/>
        <v>0.39999999999999991</v>
      </c>
      <c r="H36" s="41"/>
      <c r="I36" s="19"/>
      <c r="N36" s="19"/>
    </row>
    <row r="37" spans="1:14" x14ac:dyDescent="0.25">
      <c r="H37" s="18"/>
      <c r="I37" s="19"/>
      <c r="N37" s="19"/>
    </row>
    <row r="38" spans="1:14" x14ac:dyDescent="0.25">
      <c r="I38" s="19"/>
    </row>
    <row r="39" spans="1:14" x14ac:dyDescent="0.25">
      <c r="A39" s="5" t="s">
        <v>25</v>
      </c>
      <c r="I39" s="19"/>
    </row>
    <row r="40" spans="1:14" x14ac:dyDescent="0.25">
      <c r="H40" s="18" t="s">
        <v>21</v>
      </c>
      <c r="I40" s="19"/>
    </row>
    <row r="41" spans="1:14" ht="54.95" customHeight="1" x14ac:dyDescent="0.25">
      <c r="A41" s="43" t="s">
        <v>6</v>
      </c>
      <c r="B41" s="44" t="s">
        <v>2</v>
      </c>
      <c r="C41" s="43" t="s">
        <v>43</v>
      </c>
      <c r="D41" s="43" t="s">
        <v>26</v>
      </c>
      <c r="E41" s="45" t="s">
        <v>27</v>
      </c>
      <c r="F41" s="43" t="s">
        <v>36</v>
      </c>
      <c r="G41" s="45" t="s">
        <v>27</v>
      </c>
      <c r="H41" s="43" t="s">
        <v>48</v>
      </c>
      <c r="I41" s="45" t="s">
        <v>27</v>
      </c>
      <c r="J41" s="44" t="s">
        <v>28</v>
      </c>
    </row>
    <row r="42" spans="1:14" ht="54.95" customHeight="1" x14ac:dyDescent="0.25">
      <c r="A42" s="43"/>
      <c r="B42" s="44"/>
      <c r="C42" s="43"/>
      <c r="D42" s="43"/>
      <c r="E42" s="45"/>
      <c r="F42" s="43"/>
      <c r="G42" s="45"/>
      <c r="H42" s="43"/>
      <c r="I42" s="45"/>
      <c r="J42" s="44"/>
    </row>
    <row r="43" spans="1:14" ht="90" x14ac:dyDescent="0.25">
      <c r="A43" s="10"/>
      <c r="B43" s="10"/>
      <c r="C43" s="35" t="s">
        <v>45</v>
      </c>
      <c r="D43" s="35" t="s">
        <v>35</v>
      </c>
      <c r="E43" s="36"/>
      <c r="F43" s="35" t="s">
        <v>37</v>
      </c>
      <c r="G43" s="36"/>
      <c r="H43" s="37" t="s">
        <v>49</v>
      </c>
      <c r="I43" s="36"/>
      <c r="J43" s="38" t="s">
        <v>50</v>
      </c>
    </row>
    <row r="44" spans="1:14" x14ac:dyDescent="0.25">
      <c r="A44" s="7" t="s">
        <v>9</v>
      </c>
      <c r="B44" s="7" t="s">
        <v>1</v>
      </c>
      <c r="C44" t="str">
        <f>IF(OR(F9&lt;36000, K9&lt;36000), "INELIGIBLE", "")</f>
        <v/>
      </c>
      <c r="D44" s="11" t="str">
        <f>IF(E26&gt;=0.036, "YES", "")</f>
        <v/>
      </c>
      <c r="F44" s="11" t="str">
        <f>IF(D44&lt;&gt;"YES", IF(AND(E26&gt;=0.036*0.85, C26&gt;=0.02), "YES", ""), "")</f>
        <v/>
      </c>
      <c r="H44" s="24" t="str">
        <f t="shared" ref="H44:H50" si="8">IF(F44="YES", IF(OR(AND(ISNUMBER(D26), D26&gt;=0.75), F26&gt;=0.036), "YES", ""), "")</f>
        <v/>
      </c>
      <c r="J44" s="26" t="str">
        <f>IF(C44="INELIGIBLE","", IF(OR(D44="YES",H44="YES"),"REFER",""))</f>
        <v/>
      </c>
    </row>
    <row r="45" spans="1:14" x14ac:dyDescent="0.25">
      <c r="A45" s="7" t="s">
        <v>9</v>
      </c>
      <c r="B45" s="7" t="s">
        <v>3</v>
      </c>
      <c r="C45" t="str">
        <f t="shared" ref="C45:C54" si="9">IF(OR(F10&lt;36000, K10&lt;36000), "INELIGIBLE", "")</f>
        <v/>
      </c>
      <c r="D45" s="11" t="str">
        <f t="shared" ref="D45:D54" si="10">IF(E27&gt;=0.036, "YES", "")</f>
        <v/>
      </c>
      <c r="F45" s="11" t="str">
        <f t="shared" ref="F45:F54" si="11">IF(D45&lt;&gt;"YES", IF(AND(E27&gt;=0.036*0.85, C27&gt;=0.02), "YES", ""), "")</f>
        <v/>
      </c>
      <c r="H45" s="24" t="str">
        <f t="shared" si="8"/>
        <v/>
      </c>
      <c r="J45" s="26" t="str">
        <f t="shared" ref="J45:J54" si="12">IF(C45="INELIGIBLE","", IF(OR(D45="YES",H45="YES"),"REFER",""))</f>
        <v/>
      </c>
    </row>
    <row r="46" spans="1:14" x14ac:dyDescent="0.25">
      <c r="A46" s="7" t="s">
        <v>10</v>
      </c>
      <c r="B46" s="7" t="s">
        <v>1</v>
      </c>
      <c r="C46" t="str">
        <f t="shared" si="9"/>
        <v/>
      </c>
      <c r="D46" s="11" t="str">
        <f t="shared" si="10"/>
        <v/>
      </c>
      <c r="F46" s="11" t="str">
        <f t="shared" si="11"/>
        <v/>
      </c>
      <c r="H46" s="24" t="str">
        <f t="shared" si="8"/>
        <v/>
      </c>
      <c r="J46" s="26" t="str">
        <f t="shared" si="12"/>
        <v/>
      </c>
    </row>
    <row r="47" spans="1:14" x14ac:dyDescent="0.25">
      <c r="A47" s="7" t="s">
        <v>10</v>
      </c>
      <c r="B47" s="7" t="s">
        <v>3</v>
      </c>
      <c r="C47" t="str">
        <f t="shared" si="9"/>
        <v/>
      </c>
      <c r="D47" s="11" t="str">
        <f t="shared" si="10"/>
        <v/>
      </c>
      <c r="F47" s="11" t="str">
        <f t="shared" si="11"/>
        <v/>
      </c>
      <c r="H47" s="24" t="str">
        <f t="shared" si="8"/>
        <v/>
      </c>
      <c r="J47" s="26" t="str">
        <f t="shared" si="12"/>
        <v/>
      </c>
    </row>
    <row r="48" spans="1:14" x14ac:dyDescent="0.25">
      <c r="A48" s="7" t="s">
        <v>10</v>
      </c>
      <c r="B48" s="7" t="s">
        <v>4</v>
      </c>
      <c r="C48" t="str">
        <f t="shared" si="9"/>
        <v/>
      </c>
      <c r="D48" s="11" t="str">
        <f t="shared" si="10"/>
        <v>YES</v>
      </c>
      <c r="F48" s="11" t="str">
        <f t="shared" si="11"/>
        <v/>
      </c>
      <c r="H48" s="24" t="str">
        <f t="shared" si="8"/>
        <v/>
      </c>
      <c r="J48" s="26" t="str">
        <f t="shared" si="12"/>
        <v>REFER</v>
      </c>
    </row>
    <row r="49" spans="1:10" x14ac:dyDescent="0.25">
      <c r="A49" s="7" t="s">
        <v>11</v>
      </c>
      <c r="B49" s="7" t="s">
        <v>3</v>
      </c>
      <c r="C49" t="str">
        <f t="shared" si="9"/>
        <v/>
      </c>
      <c r="D49" s="11" t="str">
        <f t="shared" si="10"/>
        <v>YES</v>
      </c>
      <c r="F49" s="11" t="str">
        <f t="shared" si="11"/>
        <v/>
      </c>
      <c r="H49" s="24" t="str">
        <f t="shared" si="8"/>
        <v/>
      </c>
      <c r="J49" s="26" t="str">
        <f t="shared" si="12"/>
        <v>REFER</v>
      </c>
    </row>
    <row r="50" spans="1:10" x14ac:dyDescent="0.25">
      <c r="A50" s="7" t="s">
        <v>12</v>
      </c>
      <c r="B50" s="7" t="s">
        <v>1</v>
      </c>
      <c r="C50" t="str">
        <f t="shared" si="9"/>
        <v/>
      </c>
      <c r="D50" s="11" t="str">
        <f t="shared" si="10"/>
        <v/>
      </c>
      <c r="F50" s="11" t="str">
        <f t="shared" si="11"/>
        <v>YES</v>
      </c>
      <c r="H50" s="24" t="str">
        <f t="shared" si="8"/>
        <v>YES</v>
      </c>
      <c r="J50" s="26" t="str">
        <f t="shared" si="12"/>
        <v>REFER</v>
      </c>
    </row>
    <row r="51" spans="1:10" x14ac:dyDescent="0.25">
      <c r="A51" s="7" t="s">
        <v>12</v>
      </c>
      <c r="B51" s="7" t="s">
        <v>3</v>
      </c>
      <c r="C51" t="str">
        <f t="shared" si="9"/>
        <v/>
      </c>
      <c r="D51" s="11" t="str">
        <f t="shared" si="10"/>
        <v/>
      </c>
      <c r="F51" s="11" t="str">
        <f t="shared" si="11"/>
        <v/>
      </c>
      <c r="H51" s="24" t="str">
        <f t="shared" ref="H51:H54" si="13">IF(F51="YES", IF(OR(AND(ISNUMBER(D33), D33&gt;=0.75), F33&gt;=0.036), "YES", ""), "")</f>
        <v/>
      </c>
      <c r="J51" s="26" t="str">
        <f t="shared" si="12"/>
        <v/>
      </c>
    </row>
    <row r="52" spans="1:10" x14ac:dyDescent="0.25">
      <c r="A52" s="7" t="s">
        <v>12</v>
      </c>
      <c r="B52" s="7" t="s">
        <v>4</v>
      </c>
      <c r="C52" t="str">
        <f t="shared" si="9"/>
        <v/>
      </c>
      <c r="D52" s="11" t="str">
        <f t="shared" si="10"/>
        <v/>
      </c>
      <c r="F52" s="11" t="str">
        <f t="shared" si="11"/>
        <v/>
      </c>
      <c r="H52" s="24" t="str">
        <f t="shared" si="13"/>
        <v/>
      </c>
      <c r="J52" s="26" t="str">
        <f t="shared" si="12"/>
        <v/>
      </c>
    </row>
    <row r="53" spans="1:10" x14ac:dyDescent="0.25">
      <c r="A53" s="7" t="s">
        <v>13</v>
      </c>
      <c r="B53" s="7" t="s">
        <v>1</v>
      </c>
      <c r="C53" t="str">
        <f t="shared" si="9"/>
        <v/>
      </c>
      <c r="D53" s="11" t="str">
        <f t="shared" si="10"/>
        <v/>
      </c>
      <c r="F53" s="11" t="str">
        <f t="shared" si="11"/>
        <v/>
      </c>
      <c r="H53" s="24" t="str">
        <f t="shared" si="13"/>
        <v/>
      </c>
      <c r="J53" s="26" t="str">
        <f t="shared" si="12"/>
        <v/>
      </c>
    </row>
    <row r="54" spans="1:10" x14ac:dyDescent="0.25">
      <c r="A54" s="7" t="s">
        <v>13</v>
      </c>
      <c r="B54" s="7" t="s">
        <v>4</v>
      </c>
      <c r="C54" s="39" t="str">
        <f t="shared" si="9"/>
        <v>INELIGIBLE</v>
      </c>
      <c r="D54" s="11" t="str">
        <f t="shared" si="10"/>
        <v>YES</v>
      </c>
      <c r="F54" s="11" t="str">
        <f t="shared" si="11"/>
        <v/>
      </c>
      <c r="H54" s="24" t="str">
        <f t="shared" si="13"/>
        <v/>
      </c>
      <c r="J54" s="26" t="str">
        <f t="shared" si="12"/>
        <v/>
      </c>
    </row>
    <row r="55" spans="1:10" x14ac:dyDescent="0.25">
      <c r="A55" s="1"/>
      <c r="B55" s="1"/>
      <c r="C55" s="1"/>
      <c r="D55" s="1"/>
      <c r="E55" s="1"/>
      <c r="F55" s="1"/>
      <c r="G55" s="1"/>
      <c r="I55" s="19"/>
    </row>
    <row r="56" spans="1:10" x14ac:dyDescent="0.25">
      <c r="A56" s="1"/>
      <c r="B56" s="1"/>
      <c r="C56" s="1"/>
      <c r="D56" s="1"/>
      <c r="E56" s="1"/>
      <c r="F56" s="1"/>
      <c r="G56" s="4"/>
      <c r="I56" s="19"/>
    </row>
    <row r="57" spans="1:10" x14ac:dyDescent="0.25">
      <c r="G57" s="6"/>
      <c r="I57" s="19"/>
    </row>
    <row r="58" spans="1:10" x14ac:dyDescent="0.25">
      <c r="G58" s="6"/>
      <c r="I58" s="19"/>
    </row>
    <row r="59" spans="1:10" x14ac:dyDescent="0.25">
      <c r="G59" s="6"/>
      <c r="I59" s="19"/>
    </row>
    <row r="60" spans="1:10" x14ac:dyDescent="0.25">
      <c r="I60" s="19"/>
    </row>
    <row r="61" spans="1:10" x14ac:dyDescent="0.25">
      <c r="I61" s="19"/>
    </row>
    <row r="62" spans="1:10" x14ac:dyDescent="0.25">
      <c r="I62" s="19"/>
    </row>
    <row r="63" spans="1:10" x14ac:dyDescent="0.25">
      <c r="I63" s="19"/>
    </row>
    <row r="64" spans="1:10" x14ac:dyDescent="0.25">
      <c r="I64" s="19"/>
    </row>
    <row r="65" spans="9:9" x14ac:dyDescent="0.25">
      <c r="I65" s="19"/>
    </row>
    <row r="66" spans="9:9" x14ac:dyDescent="0.25">
      <c r="I66" s="19"/>
    </row>
    <row r="67" spans="9:9" x14ac:dyDescent="0.25">
      <c r="I67" s="19"/>
    </row>
    <row r="68" spans="9:9" x14ac:dyDescent="0.25">
      <c r="I68" s="19"/>
    </row>
    <row r="69" spans="9:9" x14ac:dyDescent="0.25">
      <c r="I69" s="19"/>
    </row>
    <row r="70" spans="9:9" x14ac:dyDescent="0.25">
      <c r="I70" s="19"/>
    </row>
    <row r="71" spans="9:9" x14ac:dyDescent="0.25">
      <c r="I71" s="19"/>
    </row>
    <row r="72" spans="9:9" x14ac:dyDescent="0.25">
      <c r="I72" s="19"/>
    </row>
    <row r="73" spans="9:9" x14ac:dyDescent="0.25">
      <c r="I73" s="19"/>
    </row>
    <row r="74" spans="9:9" x14ac:dyDescent="0.25">
      <c r="I74" s="19"/>
    </row>
    <row r="75" spans="9:9" x14ac:dyDescent="0.25">
      <c r="I75" s="19"/>
    </row>
    <row r="76" spans="9:9" x14ac:dyDescent="0.25">
      <c r="I76" s="19"/>
    </row>
    <row r="77" spans="9:9" x14ac:dyDescent="0.25">
      <c r="I77" s="19"/>
    </row>
    <row r="78" spans="9:9" x14ac:dyDescent="0.25">
      <c r="I78" s="19"/>
    </row>
    <row r="79" spans="9:9" x14ac:dyDescent="0.25">
      <c r="I79" s="19"/>
    </row>
    <row r="80" spans="9:9" x14ac:dyDescent="0.25">
      <c r="I80" s="19"/>
    </row>
    <row r="81" spans="9:9" x14ac:dyDescent="0.25">
      <c r="I81" s="19"/>
    </row>
    <row r="82" spans="9:9" x14ac:dyDescent="0.25">
      <c r="I82" s="19"/>
    </row>
    <row r="83" spans="9:9" x14ac:dyDescent="0.25">
      <c r="I83" s="19"/>
    </row>
    <row r="84" spans="9:9" x14ac:dyDescent="0.25">
      <c r="I84" s="19"/>
    </row>
    <row r="85" spans="9:9" x14ac:dyDescent="0.25">
      <c r="I85" s="19"/>
    </row>
    <row r="86" spans="9:9" x14ac:dyDescent="0.25">
      <c r="I86" s="19"/>
    </row>
    <row r="87" spans="9:9" x14ac:dyDescent="0.25">
      <c r="I87" s="19"/>
    </row>
    <row r="88" spans="9:9" x14ac:dyDescent="0.25">
      <c r="I88" s="19"/>
    </row>
    <row r="89" spans="9:9" x14ac:dyDescent="0.25">
      <c r="I89" s="19"/>
    </row>
    <row r="90" spans="9:9" x14ac:dyDescent="0.25">
      <c r="I90" s="19"/>
    </row>
    <row r="91" spans="9:9" x14ac:dyDescent="0.25">
      <c r="I91" s="19"/>
    </row>
    <row r="92" spans="9:9" x14ac:dyDescent="0.25">
      <c r="I92" s="19"/>
    </row>
    <row r="93" spans="9:9" x14ac:dyDescent="0.25">
      <c r="I93" s="19"/>
    </row>
    <row r="94" spans="9:9" x14ac:dyDescent="0.25">
      <c r="I94" s="19"/>
    </row>
    <row r="95" spans="9:9" x14ac:dyDescent="0.25">
      <c r="I95" s="19"/>
    </row>
    <row r="96" spans="9:9" x14ac:dyDescent="0.25">
      <c r="I96" s="19"/>
    </row>
    <row r="97" spans="9:9" x14ac:dyDescent="0.25">
      <c r="I97" s="19"/>
    </row>
    <row r="98" spans="9:9" x14ac:dyDescent="0.25">
      <c r="I98" s="19"/>
    </row>
    <row r="99" spans="9:9" x14ac:dyDescent="0.25">
      <c r="I99" s="19"/>
    </row>
    <row r="100" spans="9:9" x14ac:dyDescent="0.25">
      <c r="I100" s="19"/>
    </row>
    <row r="101" spans="9:9" x14ac:dyDescent="0.25">
      <c r="I101" s="19"/>
    </row>
    <row r="102" spans="9:9" x14ac:dyDescent="0.25">
      <c r="I102" s="19"/>
    </row>
    <row r="103" spans="9:9" x14ac:dyDescent="0.25">
      <c r="I103" s="19"/>
    </row>
    <row r="104" spans="9:9" x14ac:dyDescent="0.25">
      <c r="I104" s="19"/>
    </row>
    <row r="105" spans="9:9" x14ac:dyDescent="0.25">
      <c r="I105" s="19"/>
    </row>
    <row r="106" spans="9:9" x14ac:dyDescent="0.25">
      <c r="I106" s="19"/>
    </row>
    <row r="107" spans="9:9" x14ac:dyDescent="0.25">
      <c r="I107" s="19"/>
    </row>
    <row r="108" spans="9:9" x14ac:dyDescent="0.25">
      <c r="I108" s="19"/>
    </row>
    <row r="109" spans="9:9" x14ac:dyDescent="0.25">
      <c r="I109" s="19"/>
    </row>
    <row r="110" spans="9:9" x14ac:dyDescent="0.25">
      <c r="I110" s="19"/>
    </row>
    <row r="111" spans="9:9" x14ac:dyDescent="0.25">
      <c r="I111" s="19"/>
    </row>
    <row r="112" spans="9:9" x14ac:dyDescent="0.25">
      <c r="I112" s="19"/>
    </row>
    <row r="113" spans="9:9" x14ac:dyDescent="0.25">
      <c r="I113" s="19"/>
    </row>
    <row r="114" spans="9:9" x14ac:dyDescent="0.25">
      <c r="I114" s="19"/>
    </row>
    <row r="115" spans="9:9" x14ac:dyDescent="0.25">
      <c r="I115" s="19"/>
    </row>
    <row r="116" spans="9:9" x14ac:dyDescent="0.25">
      <c r="I116" s="19"/>
    </row>
    <row r="117" spans="9:9" x14ac:dyDescent="0.25">
      <c r="I117" s="19"/>
    </row>
    <row r="118" spans="9:9" x14ac:dyDescent="0.25">
      <c r="I118" s="19"/>
    </row>
    <row r="119" spans="9:9" x14ac:dyDescent="0.25">
      <c r="I119" s="19"/>
    </row>
    <row r="120" spans="9:9" x14ac:dyDescent="0.25">
      <c r="I120" s="19"/>
    </row>
    <row r="121" spans="9:9" x14ac:dyDescent="0.25">
      <c r="I121" s="19"/>
    </row>
    <row r="122" spans="9:9" x14ac:dyDescent="0.25">
      <c r="I122" s="19"/>
    </row>
    <row r="123" spans="9:9" x14ac:dyDescent="0.25">
      <c r="I123" s="19"/>
    </row>
    <row r="124" spans="9:9" x14ac:dyDescent="0.25">
      <c r="I124" s="19"/>
    </row>
    <row r="125" spans="9:9" x14ac:dyDescent="0.25">
      <c r="I125" s="19"/>
    </row>
    <row r="126" spans="9:9" x14ac:dyDescent="0.25">
      <c r="I126" s="19"/>
    </row>
    <row r="127" spans="9:9" x14ac:dyDescent="0.25">
      <c r="I127" s="19"/>
    </row>
    <row r="128" spans="9:9" x14ac:dyDescent="0.25">
      <c r="I128" s="19"/>
    </row>
    <row r="129" spans="9:9" x14ac:dyDescent="0.25">
      <c r="I129" s="19"/>
    </row>
    <row r="130" spans="9:9" x14ac:dyDescent="0.25">
      <c r="I130" s="19"/>
    </row>
    <row r="131" spans="9:9" x14ac:dyDescent="0.25">
      <c r="I131" s="19"/>
    </row>
    <row r="132" spans="9:9" x14ac:dyDescent="0.25">
      <c r="I132" s="19"/>
    </row>
    <row r="133" spans="9:9" x14ac:dyDescent="0.25">
      <c r="I133" s="19"/>
    </row>
    <row r="134" spans="9:9" x14ac:dyDescent="0.25">
      <c r="I134" s="19"/>
    </row>
    <row r="135" spans="9:9" x14ac:dyDescent="0.25">
      <c r="I135" s="19"/>
    </row>
    <row r="136" spans="9:9" x14ac:dyDescent="0.25">
      <c r="I136" s="19"/>
    </row>
    <row r="137" spans="9:9" x14ac:dyDescent="0.25">
      <c r="I137" s="19"/>
    </row>
    <row r="138" spans="9:9" x14ac:dyDescent="0.25">
      <c r="I138" s="19"/>
    </row>
    <row r="139" spans="9:9" x14ac:dyDescent="0.25">
      <c r="I139" s="19"/>
    </row>
    <row r="140" spans="9:9" x14ac:dyDescent="0.25">
      <c r="I140" s="19"/>
    </row>
    <row r="141" spans="9:9" x14ac:dyDescent="0.25">
      <c r="I141" s="19"/>
    </row>
    <row r="142" spans="9:9" x14ac:dyDescent="0.25">
      <c r="I142" s="19"/>
    </row>
    <row r="143" spans="9:9" x14ac:dyDescent="0.25">
      <c r="I143" s="19"/>
    </row>
    <row r="144" spans="9:9" x14ac:dyDescent="0.25">
      <c r="I144" s="19"/>
    </row>
    <row r="145" spans="9:9" x14ac:dyDescent="0.25">
      <c r="I145" s="19"/>
    </row>
    <row r="146" spans="9:9" x14ac:dyDescent="0.25">
      <c r="I146" s="19"/>
    </row>
    <row r="147" spans="9:9" x14ac:dyDescent="0.25">
      <c r="I147" s="19"/>
    </row>
    <row r="148" spans="9:9" x14ac:dyDescent="0.25">
      <c r="I148" s="19"/>
    </row>
    <row r="149" spans="9:9" x14ac:dyDescent="0.25">
      <c r="I149" s="19"/>
    </row>
    <row r="150" spans="9:9" x14ac:dyDescent="0.25">
      <c r="I150" s="19"/>
    </row>
    <row r="151" spans="9:9" x14ac:dyDescent="0.25">
      <c r="I151" s="19"/>
    </row>
    <row r="152" spans="9:9" x14ac:dyDescent="0.25">
      <c r="I152" s="19"/>
    </row>
    <row r="153" spans="9:9" x14ac:dyDescent="0.25">
      <c r="I153" s="19"/>
    </row>
    <row r="154" spans="9:9" x14ac:dyDescent="0.25">
      <c r="I154" s="19"/>
    </row>
    <row r="155" spans="9:9" x14ac:dyDescent="0.25">
      <c r="I155" s="19"/>
    </row>
    <row r="156" spans="9:9" x14ac:dyDescent="0.25">
      <c r="I156" s="19"/>
    </row>
    <row r="157" spans="9:9" x14ac:dyDescent="0.25">
      <c r="I157" s="19"/>
    </row>
    <row r="158" spans="9:9" x14ac:dyDescent="0.25">
      <c r="I158" s="19"/>
    </row>
    <row r="159" spans="9:9" x14ac:dyDescent="0.25">
      <c r="I159" s="19"/>
    </row>
    <row r="160" spans="9:9" x14ac:dyDescent="0.25">
      <c r="I160" s="19"/>
    </row>
    <row r="161" spans="9:9" x14ac:dyDescent="0.25">
      <c r="I161" s="19"/>
    </row>
    <row r="162" spans="9:9" x14ac:dyDescent="0.25">
      <c r="I162" s="19"/>
    </row>
    <row r="163" spans="9:9" x14ac:dyDescent="0.25">
      <c r="I163" s="19"/>
    </row>
    <row r="164" spans="9:9" x14ac:dyDescent="0.25">
      <c r="I164" s="19"/>
    </row>
    <row r="165" spans="9:9" x14ac:dyDescent="0.25">
      <c r="I165" s="19"/>
    </row>
    <row r="166" spans="9:9" x14ac:dyDescent="0.25">
      <c r="I166" s="19"/>
    </row>
    <row r="167" spans="9:9" x14ac:dyDescent="0.25">
      <c r="I167" s="19"/>
    </row>
    <row r="168" spans="9:9" x14ac:dyDescent="0.25">
      <c r="I168" s="19"/>
    </row>
    <row r="169" spans="9:9" x14ac:dyDescent="0.25">
      <c r="I169" s="19"/>
    </row>
    <row r="170" spans="9:9" x14ac:dyDescent="0.25">
      <c r="I170" s="19"/>
    </row>
    <row r="171" spans="9:9" x14ac:dyDescent="0.25">
      <c r="I171" s="19"/>
    </row>
    <row r="172" spans="9:9" x14ac:dyDescent="0.25">
      <c r="I172" s="19"/>
    </row>
    <row r="173" spans="9:9" x14ac:dyDescent="0.25">
      <c r="I173" s="19"/>
    </row>
    <row r="174" spans="9:9" x14ac:dyDescent="0.25">
      <c r="I174" s="19"/>
    </row>
    <row r="175" spans="9:9" x14ac:dyDescent="0.25">
      <c r="I175" s="19"/>
    </row>
    <row r="176" spans="9:9" x14ac:dyDescent="0.25">
      <c r="I176" s="19"/>
    </row>
    <row r="177" spans="9:9" x14ac:dyDescent="0.25">
      <c r="I177" s="19"/>
    </row>
    <row r="178" spans="9:9" x14ac:dyDescent="0.25">
      <c r="I178" s="19"/>
    </row>
    <row r="179" spans="9:9" x14ac:dyDescent="0.25">
      <c r="I179" s="19"/>
    </row>
    <row r="180" spans="9:9" x14ac:dyDescent="0.25">
      <c r="I180" s="19"/>
    </row>
    <row r="181" spans="9:9" x14ac:dyDescent="0.25">
      <c r="I181" s="19"/>
    </row>
    <row r="182" spans="9:9" x14ac:dyDescent="0.25">
      <c r="I182" s="19"/>
    </row>
    <row r="183" spans="9:9" x14ac:dyDescent="0.25">
      <c r="I183" s="19"/>
    </row>
    <row r="184" spans="9:9" x14ac:dyDescent="0.25">
      <c r="I184" s="19"/>
    </row>
    <row r="185" spans="9:9" x14ac:dyDescent="0.25">
      <c r="I185" s="19"/>
    </row>
    <row r="186" spans="9:9" x14ac:dyDescent="0.25">
      <c r="I186" s="19"/>
    </row>
    <row r="187" spans="9:9" x14ac:dyDescent="0.25">
      <c r="I187" s="19"/>
    </row>
    <row r="188" spans="9:9" x14ac:dyDescent="0.25">
      <c r="I188" s="19"/>
    </row>
    <row r="189" spans="9:9" x14ac:dyDescent="0.25">
      <c r="I189" s="19"/>
    </row>
    <row r="190" spans="9:9" x14ac:dyDescent="0.25">
      <c r="I190" s="19"/>
    </row>
    <row r="191" spans="9:9" x14ac:dyDescent="0.25">
      <c r="I191" s="19"/>
    </row>
    <row r="192" spans="9:9" x14ac:dyDescent="0.25">
      <c r="I192" s="19"/>
    </row>
    <row r="193" spans="9:9" x14ac:dyDescent="0.25">
      <c r="I193" s="19"/>
    </row>
    <row r="194" spans="9:9" x14ac:dyDescent="0.25">
      <c r="I194" s="19"/>
    </row>
    <row r="195" spans="9:9" x14ac:dyDescent="0.25">
      <c r="I195" s="19"/>
    </row>
    <row r="196" spans="9:9" x14ac:dyDescent="0.25">
      <c r="I196" s="19"/>
    </row>
    <row r="197" spans="9:9" x14ac:dyDescent="0.25">
      <c r="I197" s="19"/>
    </row>
    <row r="198" spans="9:9" x14ac:dyDescent="0.25">
      <c r="I198" s="19"/>
    </row>
    <row r="199" spans="9:9" x14ac:dyDescent="0.25">
      <c r="I199" s="19"/>
    </row>
    <row r="200" spans="9:9" x14ac:dyDescent="0.25">
      <c r="I200" s="19"/>
    </row>
    <row r="201" spans="9:9" x14ac:dyDescent="0.25">
      <c r="I201" s="19"/>
    </row>
    <row r="202" spans="9:9" x14ac:dyDescent="0.25">
      <c r="I202" s="19"/>
    </row>
    <row r="203" spans="9:9" x14ac:dyDescent="0.25">
      <c r="I203" s="19"/>
    </row>
    <row r="204" spans="9:9" x14ac:dyDescent="0.25">
      <c r="I204" s="19"/>
    </row>
    <row r="205" spans="9:9" x14ac:dyDescent="0.25">
      <c r="I205" s="19"/>
    </row>
    <row r="206" spans="9:9" x14ac:dyDescent="0.25">
      <c r="I206" s="19"/>
    </row>
    <row r="207" spans="9:9" x14ac:dyDescent="0.25">
      <c r="I207" s="19"/>
    </row>
    <row r="208" spans="9:9" x14ac:dyDescent="0.25">
      <c r="I208" s="19"/>
    </row>
    <row r="209" spans="9:9" x14ac:dyDescent="0.25">
      <c r="I209" s="19"/>
    </row>
    <row r="210" spans="9:9" x14ac:dyDescent="0.25">
      <c r="I210" s="19"/>
    </row>
    <row r="211" spans="9:9" x14ac:dyDescent="0.25">
      <c r="I211" s="19"/>
    </row>
  </sheetData>
  <mergeCells count="21">
    <mergeCell ref="C6:C7"/>
    <mergeCell ref="D6:D7"/>
    <mergeCell ref="E6:E7"/>
    <mergeCell ref="A23:A24"/>
    <mergeCell ref="B23:B24"/>
    <mergeCell ref="F6:J6"/>
    <mergeCell ref="E23:F23"/>
    <mergeCell ref="K6:O6"/>
    <mergeCell ref="A41:A42"/>
    <mergeCell ref="B41:B42"/>
    <mergeCell ref="C23:D23"/>
    <mergeCell ref="I41:I42"/>
    <mergeCell ref="J41:J42"/>
    <mergeCell ref="C41:C42"/>
    <mergeCell ref="D41:D42"/>
    <mergeCell ref="E41:E42"/>
    <mergeCell ref="F41:F42"/>
    <mergeCell ref="G41:G42"/>
    <mergeCell ref="H41:H42"/>
    <mergeCell ref="A6:A7"/>
    <mergeCell ref="B6:B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zoomScale="70" zoomScaleNormal="70" workbookViewId="0"/>
  </sheetViews>
  <sheetFormatPr defaultRowHeight="15" x14ac:dyDescent="0.25"/>
  <cols>
    <col min="1" max="1" width="18.28515625" customWidth="1"/>
    <col min="2" max="2" width="25.42578125" customWidth="1"/>
    <col min="3" max="3" width="30.42578125" customWidth="1"/>
    <col min="4" max="4" width="33.7109375" customWidth="1"/>
    <col min="5" max="5" width="28.42578125" customWidth="1"/>
    <col min="6" max="6" width="27.42578125" customWidth="1"/>
    <col min="7" max="7" width="24.5703125" customWidth="1"/>
    <col min="8" max="8" width="23.7109375" customWidth="1"/>
    <col min="9" max="9" width="27.42578125" customWidth="1"/>
    <col min="10" max="10" width="13.7109375" bestFit="1" customWidth="1"/>
    <col min="11" max="11" width="16.42578125" bestFit="1" customWidth="1"/>
    <col min="12" max="12" width="19.5703125" customWidth="1"/>
    <col min="13" max="13" width="13.7109375" bestFit="1" customWidth="1"/>
    <col min="14" max="14" width="16.42578125" bestFit="1" customWidth="1"/>
    <col min="15" max="15" width="19.5703125" customWidth="1"/>
  </cols>
  <sheetData>
    <row r="1" spans="1:15" ht="21" x14ac:dyDescent="0.35">
      <c r="A1" s="2" t="s">
        <v>29</v>
      </c>
    </row>
    <row r="3" spans="1:15" x14ac:dyDescent="0.25">
      <c r="A3" s="5" t="s">
        <v>34</v>
      </c>
    </row>
    <row r="5" spans="1:15" x14ac:dyDescent="0.25">
      <c r="A5" s="44" t="s">
        <v>2</v>
      </c>
      <c r="B5" s="44" t="s">
        <v>0</v>
      </c>
      <c r="C5" s="42">
        <v>2013</v>
      </c>
      <c r="D5" s="42"/>
      <c r="E5" s="42"/>
      <c r="F5" s="42"/>
      <c r="G5" s="42"/>
      <c r="H5" s="42">
        <v>2014</v>
      </c>
      <c r="I5" s="42"/>
      <c r="J5" s="42"/>
      <c r="K5" s="42"/>
      <c r="L5" s="42"/>
      <c r="M5" s="3"/>
      <c r="N5" s="3"/>
      <c r="O5" s="3"/>
    </row>
    <row r="6" spans="1:15" ht="15" customHeight="1" x14ac:dyDescent="0.25">
      <c r="A6" s="44"/>
      <c r="B6" s="44"/>
      <c r="C6" s="32" t="s">
        <v>15</v>
      </c>
      <c r="D6" s="32" t="s">
        <v>16</v>
      </c>
      <c r="E6" s="32" t="s">
        <v>17</v>
      </c>
      <c r="F6" s="32" t="s">
        <v>30</v>
      </c>
      <c r="G6" s="32" t="s">
        <v>18</v>
      </c>
      <c r="H6" s="32" t="s">
        <v>15</v>
      </c>
      <c r="I6" s="32" t="s">
        <v>16</v>
      </c>
      <c r="J6" s="32" t="s">
        <v>17</v>
      </c>
      <c r="K6" s="32" t="s">
        <v>30</v>
      </c>
      <c r="L6" s="32" t="s">
        <v>18</v>
      </c>
      <c r="M6" s="8"/>
      <c r="N6" s="8"/>
      <c r="O6" s="8"/>
    </row>
    <row r="7" spans="1:15" ht="48" customHeight="1" x14ac:dyDescent="0.25">
      <c r="A7" s="10"/>
      <c r="B7" s="33"/>
      <c r="C7" s="1"/>
      <c r="D7" s="1"/>
      <c r="E7" s="1"/>
      <c r="F7" s="22" t="s">
        <v>23</v>
      </c>
      <c r="G7" s="22" t="s">
        <v>22</v>
      </c>
      <c r="H7" s="1"/>
      <c r="I7" s="1"/>
      <c r="J7" s="1"/>
      <c r="K7" s="22" t="s">
        <v>23</v>
      </c>
      <c r="L7" s="22" t="s">
        <v>22</v>
      </c>
      <c r="M7" s="1"/>
      <c r="N7" s="22"/>
      <c r="O7" s="22"/>
    </row>
    <row r="8" spans="1:15" x14ac:dyDescent="0.25">
      <c r="A8" s="7" t="s">
        <v>1</v>
      </c>
      <c r="B8" s="34" t="s">
        <v>14</v>
      </c>
      <c r="C8" s="13">
        <f>SUMIF('Provider Group'!$D$9:$D$19, "="&amp;$A8, 'Provider Group'!F$9:F$19)*2.25</f>
        <v>2250000</v>
      </c>
      <c r="D8" s="16">
        <f>SUMIF('Provider Group'!$D$9:$D$19, "="&amp;$A8, 'Provider Group'!G$9:G$19)*2.25</f>
        <v>866812500</v>
      </c>
      <c r="E8" s="20">
        <f>('Provider Group'!F9*'Provider Group'!H9+'Provider Group'!F11*'Provider Group'!H11+'Provider Group'!F15*'Provider Group'!H15+'Provider Group'!F18*'Provider Group'!H18)/SUMIF('Provider Group'!$D$9:$D$19, "="&amp;$A8, 'Provider Group'!F$9:F$19)</f>
        <v>1.5115000000000001</v>
      </c>
      <c r="F8" s="15">
        <f>D8/C8</f>
        <v>385.25</v>
      </c>
      <c r="G8" s="15">
        <f>D8/(C8*E8)</f>
        <v>254.87925901422429</v>
      </c>
      <c r="H8" s="13">
        <f>SUMIF('Provider Group'!$D$9:$D$19, "="&amp;$A8, 'Provider Group'!K$9:K$19)*2.25</f>
        <v>2292750</v>
      </c>
      <c r="I8" s="16">
        <f>SUMIF('Provider Group'!$D$9:$D$19, "="&amp;$A8, 'Provider Group'!L$9:L$19)*2.25</f>
        <v>921160575</v>
      </c>
      <c r="J8" s="20">
        <f>('Provider Group'!K9*'Provider Group'!M9+'Provider Group'!K11*'Provider Group'!M11+'Provider Group'!K15*'Provider Group'!M15+'Provider Group'!K18*'Provider Group'!M18)/SUMIF('Provider Group'!$D$9:$D$19, "="&amp;$A8, 'Provider Group'!K$9:K$19)</f>
        <v>1.594739941118744</v>
      </c>
      <c r="K8" s="15">
        <f>I8/H8</f>
        <v>401.7710500490677</v>
      </c>
      <c r="L8" s="15">
        <f>I8/(H8*J8)</f>
        <v>251.93515236548023</v>
      </c>
      <c r="M8" s="34"/>
      <c r="N8" s="15"/>
      <c r="O8" s="15"/>
    </row>
    <row r="9" spans="1:15" x14ac:dyDescent="0.25">
      <c r="A9" s="7" t="s">
        <v>3</v>
      </c>
      <c r="B9" s="34" t="s">
        <v>14</v>
      </c>
      <c r="C9" s="13">
        <f>SUMIF('Provider Group'!$D$9:$D$19, "="&amp;$A9, 'Provider Group'!F$9:F$19)*2.25</f>
        <v>4860000</v>
      </c>
      <c r="D9" s="16">
        <f>SUMIF('Provider Group'!$D$9:$D$19, "="&amp;$A9, 'Provider Group'!G$9:G$19)*2.25</f>
        <v>2185875000</v>
      </c>
      <c r="E9" s="20">
        <f>('Provider Group'!F10*'Provider Group'!H10+'Provider Group'!F12*'Provider Group'!H12+'Provider Group'!F14*'Provider Group'!H14+'Provider Group'!F16*'Provider Group'!H16)/SUM('Provider Group'!F10, 'Provider Group'!F12, 'Provider Group'!F14, 'Provider Group'!F16)</f>
        <v>1.4075</v>
      </c>
      <c r="F9" s="15">
        <f>D9/C9</f>
        <v>449.76851851851853</v>
      </c>
      <c r="G9" s="15">
        <f t="shared" ref="G9:G10" si="0">D9/(C9*E9)</f>
        <v>319.55134530622985</v>
      </c>
      <c r="H9" s="13">
        <f>SUMIF('Provider Group'!$D$9:$D$19, "="&amp;$A9, 'Provider Group'!K$9:K$19)*2.25</f>
        <v>4955175</v>
      </c>
      <c r="I9" s="16">
        <f>SUMIF('Provider Group'!$D$9:$D$19, "="&amp;$A9, 'Provider Group'!L$9:L$19)*2.25</f>
        <v>2272725000</v>
      </c>
      <c r="J9" s="20">
        <f>('Provider Group'!K10*'Provider Group'!M10+'Provider Group'!K12*'Provider Group'!M12+'Provider Group'!K14*'Provider Group'!M14+'Provider Group'!K16*'Provider Group'!M16)/SUM('Provider Group'!K10, 'Provider Group'!K12, 'Provider Group'!K14, 'Provider Group'!K16)</f>
        <v>1.4639449666258002</v>
      </c>
      <c r="K9" s="15">
        <f t="shared" ref="K9:K10" si="1">I9/H9</f>
        <v>458.6568587385915</v>
      </c>
      <c r="L9" s="15">
        <f t="shared" ref="L9:L10" si="2">I9/(H9*J9)</f>
        <v>313.301981423342</v>
      </c>
      <c r="M9" s="34"/>
      <c r="N9" s="15"/>
      <c r="O9" s="15"/>
    </row>
    <row r="10" spans="1:15" x14ac:dyDescent="0.25">
      <c r="A10" s="7" t="s">
        <v>4</v>
      </c>
      <c r="B10" s="34" t="s">
        <v>14</v>
      </c>
      <c r="C10" s="13">
        <f>SUMIF('Provider Group'!$D$9:$D$19, "="&amp;$A10, 'Provider Group'!F$9:F$19)*2.25</f>
        <v>342000</v>
      </c>
      <c r="D10" s="16">
        <f>SUMIF('Provider Group'!$D$9:$D$19, "="&amp;$A10, 'Provider Group'!G$9:G$19)*2.25</f>
        <v>114255000</v>
      </c>
      <c r="E10" s="20">
        <f>('Provider Group'!F13*'Provider Group'!H13+'Provider Group'!F17*'Provider Group'!H17+'Provider Group'!F19*'Provider Group'!H19)/SUM('Provider Group'!F13, 'Provider Group'!F17, 'Provider Group'!F19)</f>
        <v>1.3923684210526315</v>
      </c>
      <c r="F10" s="15">
        <f>D10/C10</f>
        <v>334.07894736842104</v>
      </c>
      <c r="G10" s="15">
        <f t="shared" si="0"/>
        <v>239.93573993573997</v>
      </c>
      <c r="H10" s="13">
        <f>SUMIF('Provider Group'!$D$9:$D$19, "="&amp;$A10, 'Provider Group'!K$9:K$19)*2.25</f>
        <v>388125</v>
      </c>
      <c r="I10" s="16">
        <f>SUMIF('Provider Group'!$D$9:$D$19, "="&amp;$A10, 'Provider Group'!L$9:L$19)*2.25</f>
        <v>140883750</v>
      </c>
      <c r="J10" s="20">
        <f>('Provider Group'!K13*'Provider Group'!M13+'Provider Group'!K17*'Provider Group'!M17+'Provider Group'!K19*'Provider Group'!M19)/SUM('Provider Group'!K13, 'Provider Group'!K17, 'Provider Group'!K19)</f>
        <v>1.4568985507246377</v>
      </c>
      <c r="K10" s="15">
        <f t="shared" si="1"/>
        <v>362.98550724637681</v>
      </c>
      <c r="L10" s="15">
        <f t="shared" si="2"/>
        <v>249.14947376798042</v>
      </c>
      <c r="M10" s="34"/>
      <c r="N10" s="15"/>
      <c r="O10" s="15"/>
    </row>
    <row r="11" spans="1:15" x14ac:dyDescent="0.25">
      <c r="F11" s="9"/>
      <c r="G11" s="9"/>
      <c r="H11" s="14"/>
      <c r="K11" s="9"/>
      <c r="L11" s="9"/>
      <c r="M11" s="14"/>
    </row>
    <row r="12" spans="1:15" x14ac:dyDescent="0.25">
      <c r="A12" s="5" t="s">
        <v>56</v>
      </c>
      <c r="M12" s="19"/>
    </row>
    <row r="13" spans="1:15" x14ac:dyDescent="0.25">
      <c r="A13" s="5"/>
      <c r="M13" s="19"/>
    </row>
    <row r="14" spans="1:15" x14ac:dyDescent="0.25">
      <c r="A14" s="44" t="s">
        <v>2</v>
      </c>
      <c r="B14" s="44" t="s">
        <v>0</v>
      </c>
      <c r="C14" s="7">
        <v>2014</v>
      </c>
      <c r="D14" s="42" t="s">
        <v>41</v>
      </c>
      <c r="E14" s="42"/>
      <c r="M14" s="19"/>
    </row>
    <row r="15" spans="1:15" ht="30" customHeight="1" x14ac:dyDescent="0.25">
      <c r="A15" s="44"/>
      <c r="B15" s="44"/>
      <c r="C15" s="28" t="s">
        <v>24</v>
      </c>
      <c r="D15" s="28" t="s">
        <v>33</v>
      </c>
      <c r="E15" s="28" t="s">
        <v>19</v>
      </c>
      <c r="H15" s="21"/>
      <c r="I15" s="19"/>
      <c r="M15" s="19"/>
    </row>
    <row r="16" spans="1:15" ht="60" x14ac:dyDescent="0.25">
      <c r="A16" s="33"/>
      <c r="B16" s="10"/>
      <c r="C16" s="23" t="s">
        <v>53</v>
      </c>
      <c r="D16" s="22" t="s">
        <v>54</v>
      </c>
      <c r="E16" s="22" t="s">
        <v>55</v>
      </c>
      <c r="H16" s="18"/>
      <c r="I16" s="19"/>
      <c r="M16" s="19"/>
    </row>
    <row r="17" spans="1:13" x14ac:dyDescent="0.25">
      <c r="A17" s="34" t="s">
        <v>1</v>
      </c>
      <c r="B17" s="7" t="s">
        <v>14</v>
      </c>
      <c r="C17" s="17">
        <f>H8/SUM($H$8:$H$10)</f>
        <v>0.30025340326477695</v>
      </c>
      <c r="D17" s="17">
        <f t="shared" ref="D17:E19" si="3">K8/F8-1</f>
        <v>4.2883971574478208E-2</v>
      </c>
      <c r="E17" s="17">
        <f t="shared" si="3"/>
        <v>-1.1550985592671315E-2</v>
      </c>
      <c r="H17" s="18"/>
      <c r="I17" s="19"/>
      <c r="M17" s="19"/>
    </row>
    <row r="18" spans="1:13" x14ac:dyDescent="0.25">
      <c r="A18" s="34" t="s">
        <v>3</v>
      </c>
      <c r="B18" s="7" t="s">
        <v>14</v>
      </c>
      <c r="C18" s="17">
        <f>H9/SUM($H$8:$H$10)</f>
        <v>0.64891861630031233</v>
      </c>
      <c r="D18" s="17">
        <f t="shared" si="3"/>
        <v>1.9762032810455521E-2</v>
      </c>
      <c r="E18" s="17">
        <f t="shared" si="3"/>
        <v>-1.9556681499491191E-2</v>
      </c>
      <c r="H18" s="18"/>
      <c r="I18" s="19"/>
      <c r="M18" s="19"/>
    </row>
    <row r="19" spans="1:13" x14ac:dyDescent="0.25">
      <c r="A19" s="34" t="s">
        <v>4</v>
      </c>
      <c r="B19" s="7" t="s">
        <v>14</v>
      </c>
      <c r="C19" s="17">
        <f>H10/SUM($H$8:$H$10)</f>
        <v>5.082798043491072E-2</v>
      </c>
      <c r="D19" s="17">
        <f t="shared" si="3"/>
        <v>8.6526134333384741E-2</v>
      </c>
      <c r="E19" s="17">
        <f t="shared" si="3"/>
        <v>3.8400839469384884E-2</v>
      </c>
      <c r="H19" s="18"/>
      <c r="I19" s="19"/>
      <c r="M19" s="19"/>
    </row>
    <row r="20" spans="1:13" x14ac:dyDescent="0.25">
      <c r="H20" s="18"/>
      <c r="I20" s="19"/>
      <c r="M20" s="19"/>
    </row>
    <row r="21" spans="1:13" x14ac:dyDescent="0.25">
      <c r="I21" s="19"/>
    </row>
    <row r="22" spans="1:13" x14ac:dyDescent="0.25">
      <c r="A22" s="5" t="s">
        <v>25</v>
      </c>
      <c r="I22" s="19"/>
    </row>
    <row r="23" spans="1:13" x14ac:dyDescent="0.25">
      <c r="H23" s="18" t="s">
        <v>21</v>
      </c>
      <c r="I23" s="19"/>
    </row>
    <row r="24" spans="1:13" ht="39.950000000000003" customHeight="1" x14ac:dyDescent="0.25">
      <c r="A24" s="44" t="s">
        <v>2</v>
      </c>
      <c r="B24" s="43" t="s">
        <v>43</v>
      </c>
      <c r="C24" s="43" t="s">
        <v>26</v>
      </c>
      <c r="D24" s="45" t="s">
        <v>27</v>
      </c>
      <c r="E24" s="43" t="s">
        <v>36</v>
      </c>
      <c r="F24" s="45" t="s">
        <v>27</v>
      </c>
      <c r="G24" s="43" t="s">
        <v>51</v>
      </c>
      <c r="H24" s="45" t="s">
        <v>27</v>
      </c>
      <c r="I24" s="44" t="s">
        <v>28</v>
      </c>
    </row>
    <row r="25" spans="1:13" ht="39.950000000000003" customHeight="1" x14ac:dyDescent="0.25">
      <c r="A25" s="44"/>
      <c r="B25" s="43"/>
      <c r="C25" s="43"/>
      <c r="D25" s="45"/>
      <c r="E25" s="43"/>
      <c r="F25" s="45"/>
      <c r="G25" s="43"/>
      <c r="H25" s="45"/>
      <c r="I25" s="44"/>
    </row>
    <row r="26" spans="1:13" ht="60" x14ac:dyDescent="0.25">
      <c r="A26" s="33"/>
      <c r="B26" s="35" t="s">
        <v>45</v>
      </c>
      <c r="C26" s="35" t="s">
        <v>35</v>
      </c>
      <c r="D26" s="36"/>
      <c r="E26" s="35" t="s">
        <v>37</v>
      </c>
      <c r="F26" s="36"/>
      <c r="G26" s="37" t="s">
        <v>38</v>
      </c>
      <c r="H26" s="36"/>
      <c r="I26" s="38" t="s">
        <v>52</v>
      </c>
    </row>
    <row r="27" spans="1:13" x14ac:dyDescent="0.25">
      <c r="A27" s="34" t="s">
        <v>1</v>
      </c>
      <c r="B27" t="str">
        <f>IF(OR(C8&lt;36000, H8&lt;36000), "INELIGIBLE", "")</f>
        <v/>
      </c>
      <c r="C27" s="11" t="str">
        <f>IF(E17&gt;=0.036, "YES", "")</f>
        <v/>
      </c>
      <c r="E27" s="29" t="str">
        <f>IF(C27&lt;&gt;"YES", IF(AND(E17&gt;=0.036*0.85, C17&gt;=0.02), "YES", ""), "")</f>
        <v/>
      </c>
      <c r="G27" s="30" t="str">
        <f>IF(E27="YES", IF(D17&gt;=0.036, "YES", ""), "")</f>
        <v/>
      </c>
      <c r="I27" s="26" t="str">
        <f>IF(B27="INELIGIBLE","",IF(OR(C27="YES",G27="YES"),"REFER",""))</f>
        <v/>
      </c>
    </row>
    <row r="28" spans="1:13" x14ac:dyDescent="0.25">
      <c r="A28" s="34" t="s">
        <v>3</v>
      </c>
      <c r="B28" t="str">
        <f t="shared" ref="B28:B29" si="4">IF(OR(C9&lt;36000, H9&lt;36000), "INELIGIBLE", "")</f>
        <v/>
      </c>
      <c r="C28" s="11" t="str">
        <f>IF(E18&gt;=0.036, "YES", "")</f>
        <v/>
      </c>
      <c r="E28" s="29" t="str">
        <f>IF(C28&lt;&gt;"YES", IF(AND(E18&gt;=0.036*0.85, C18&gt;=0.02), "YES", ""), "")</f>
        <v/>
      </c>
      <c r="G28" s="30" t="str">
        <f t="shared" ref="G28:G29" si="5">IF(E28="YES", IF(D18&gt;=0.036, "YES", ""), "")</f>
        <v/>
      </c>
      <c r="I28" s="26" t="str">
        <f t="shared" ref="I28:I29" si="6">IF(B28="INELIGIBLE","",IF(OR(C28="YES",G28="YES"),"REFER",""))</f>
        <v/>
      </c>
    </row>
    <row r="29" spans="1:13" x14ac:dyDescent="0.25">
      <c r="A29" s="34" t="s">
        <v>4</v>
      </c>
      <c r="B29" t="str">
        <f t="shared" si="4"/>
        <v/>
      </c>
      <c r="C29" s="11" t="str">
        <f>IF(E19&gt;=0.036, "YES", "")</f>
        <v>YES</v>
      </c>
      <c r="E29" s="29" t="str">
        <f>IF(C29&lt;&gt;"YES", IF(AND(E19&gt;=0.036*0.85, C19&gt;=0.02), "YES", ""), "")</f>
        <v/>
      </c>
      <c r="G29" s="30" t="str">
        <f t="shared" si="5"/>
        <v/>
      </c>
      <c r="I29" s="26" t="str">
        <f t="shared" si="6"/>
        <v>REFER</v>
      </c>
    </row>
    <row r="30" spans="1:13" x14ac:dyDescent="0.25">
      <c r="A30" s="7"/>
      <c r="B30" s="7"/>
      <c r="C30" s="11"/>
      <c r="D30" s="11"/>
      <c r="G30" s="24"/>
      <c r="I30" s="25"/>
    </row>
    <row r="31" spans="1:13" x14ac:dyDescent="0.25">
      <c r="A31" s="7"/>
      <c r="B31" s="7"/>
      <c r="C31" s="11"/>
      <c r="E31" s="11"/>
      <c r="G31" s="24"/>
      <c r="I31" s="26"/>
    </row>
    <row r="32" spans="1:13" x14ac:dyDescent="0.25">
      <c r="A32" s="7"/>
      <c r="B32" s="7"/>
      <c r="C32" s="11"/>
      <c r="E32" s="11"/>
      <c r="G32" s="24"/>
      <c r="I32" s="26"/>
    </row>
    <row r="33" spans="1:9" x14ac:dyDescent="0.25">
      <c r="A33" s="7"/>
      <c r="B33" s="7"/>
      <c r="C33" s="11"/>
      <c r="E33" s="11"/>
      <c r="G33" s="24"/>
      <c r="I33" s="26"/>
    </row>
    <row r="34" spans="1:9" x14ac:dyDescent="0.25">
      <c r="A34" s="7"/>
      <c r="B34" s="7"/>
      <c r="C34" s="11"/>
      <c r="E34" s="11"/>
      <c r="G34" s="24"/>
      <c r="I34" s="25"/>
    </row>
    <row r="35" spans="1:9" x14ac:dyDescent="0.25">
      <c r="A35" s="7"/>
      <c r="B35" s="7"/>
      <c r="C35" s="11"/>
      <c r="E35" s="11"/>
      <c r="G35" s="24"/>
      <c r="I35" s="25"/>
    </row>
    <row r="36" spans="1:9" x14ac:dyDescent="0.25">
      <c r="A36" s="7"/>
      <c r="B36" s="7"/>
      <c r="C36" s="11"/>
      <c r="E36" s="11"/>
      <c r="G36" s="24"/>
      <c r="I36" s="25"/>
    </row>
    <row r="37" spans="1:9" x14ac:dyDescent="0.25">
      <c r="A37" s="7"/>
      <c r="B37" s="7"/>
      <c r="C37" s="11"/>
      <c r="E37" s="11"/>
      <c r="G37" s="24"/>
      <c r="I37" s="25"/>
    </row>
    <row r="38" spans="1:9" x14ac:dyDescent="0.25">
      <c r="F38" s="6"/>
    </row>
    <row r="39" spans="1:9" x14ac:dyDescent="0.25">
      <c r="F39" s="6"/>
    </row>
    <row r="40" spans="1:9" x14ac:dyDescent="0.25">
      <c r="F40" s="6"/>
    </row>
  </sheetData>
  <mergeCells count="16">
    <mergeCell ref="A24:A25"/>
    <mergeCell ref="H5:L5"/>
    <mergeCell ref="C5:G5"/>
    <mergeCell ref="A5:A6"/>
    <mergeCell ref="B5:B6"/>
    <mergeCell ref="A14:A15"/>
    <mergeCell ref="B14:B15"/>
    <mergeCell ref="D14:E14"/>
    <mergeCell ref="I24:I25"/>
    <mergeCell ref="B24:B25"/>
    <mergeCell ref="G24:G25"/>
    <mergeCell ref="H24:H25"/>
    <mergeCell ref="E24:E25"/>
    <mergeCell ref="C24:C25"/>
    <mergeCell ref="D24:D25"/>
    <mergeCell ref="F24:F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Provider Group</vt:lpstr>
      <vt:lpstr>Payer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Colin Shannon</dc:creator>
  <cp:lastModifiedBy>Colin Shannon</cp:lastModifiedBy>
  <dcterms:created xsi:type="dcterms:W3CDTF">2016-10-21T14:17:49Z</dcterms:created>
  <dcterms:modified xsi:type="dcterms:W3CDTF">2017-04-06T18:49:52Z</dcterms:modified>
</cp:coreProperties>
</file>